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cepe1160.sharepoint.com/sites/cepe-team/DATA/INDUSTRY WIDE GROUPS/MICROPLASTICS TF/Primary MPs/Microplastics Emission Release Factors/"/>
    </mc:Choice>
  </mc:AlternateContent>
  <xr:revisionPtr revIDLastSave="0" documentId="8_{AEAA5053-2112-4606-8D9E-E99ED9BA9294}" xr6:coauthVersionLast="47" xr6:coauthVersionMax="47" xr10:uidLastSave="{00000000-0000-0000-0000-000000000000}"/>
  <bookViews>
    <workbookView xWindow="-90" yWindow="-16320" windowWidth="29040" windowHeight="15720" xr2:uid="{00000000-000D-0000-FFFF-FFFF00000000}"/>
  </bookViews>
  <sheets>
    <sheet name="General Information" sheetId="1" r:id="rId1"/>
    <sheet name="Calculation End Use_ProfCons" sheetId="6" r:id="rId2"/>
    <sheet name="Calculation End Use_Industr" sheetId="7" r:id="rId3"/>
    <sheet name="WWT Efficiency"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7" l="1"/>
  <c r="G12" i="8"/>
  <c r="K18" i="8"/>
  <c r="M18" i="8" s="1"/>
  <c r="K17" i="8"/>
  <c r="M17" i="8" s="1"/>
  <c r="K16" i="8"/>
  <c r="M16" i="8" s="1"/>
  <c r="H17" i="8"/>
  <c r="H19" i="8" s="1"/>
  <c r="L19" i="8" s="1"/>
  <c r="D42" i="8"/>
  <c r="D41" i="8"/>
  <c r="D40" i="8"/>
  <c r="D39" i="8"/>
  <c r="D38" i="8"/>
  <c r="D37" i="8"/>
  <c r="D36" i="8"/>
  <c r="D35" i="8"/>
  <c r="D34" i="8"/>
  <c r="D33" i="8"/>
  <c r="D32" i="8"/>
  <c r="D31" i="8"/>
  <c r="D30" i="8"/>
  <c r="D29" i="8"/>
  <c r="D28" i="8"/>
  <c r="D27" i="8"/>
  <c r="D26" i="8"/>
  <c r="D25" i="8"/>
  <c r="D24" i="8"/>
  <c r="D23" i="8"/>
  <c r="D22" i="8"/>
  <c r="D21" i="8"/>
  <c r="D20" i="8"/>
  <c r="D19" i="8"/>
  <c r="D18" i="8"/>
  <c r="D17" i="8"/>
  <c r="G31" i="7"/>
  <c r="G27" i="7"/>
  <c r="L21" i="7"/>
  <c r="L20" i="7"/>
  <c r="L19" i="7"/>
  <c r="L17" i="7"/>
  <c r="K13" i="7"/>
  <c r="K9" i="7"/>
  <c r="L18" i="8" l="1"/>
  <c r="L16" i="8"/>
  <c r="L17" i="8"/>
  <c r="M20" i="8"/>
  <c r="K20" i="8"/>
  <c r="G30" i="7"/>
  <c r="G32" i="7" s="1"/>
  <c r="M37" i="6"/>
  <c r="N9" i="6"/>
  <c r="L20" i="6"/>
  <c r="L17" i="6"/>
  <c r="L14" i="6"/>
  <c r="N10" i="6"/>
  <c r="L20" i="8" l="1"/>
  <c r="L21" i="8" s="1"/>
  <c r="D9" i="8" s="1"/>
  <c r="N11" i="6"/>
  <c r="D15" i="8" l="1"/>
  <c r="L22" i="7" s="1"/>
  <c r="L18" i="7" s="1"/>
  <c r="G26" i="7" s="1"/>
  <c r="G28" i="7" s="1"/>
  <c r="G34" i="7" s="1"/>
  <c r="M28" i="6"/>
  <c r="M26" i="6"/>
  <c r="M25" i="6"/>
  <c r="M24" i="6"/>
  <c r="M23" i="6"/>
  <c r="M27" i="6"/>
  <c r="M36" i="6" l="1"/>
  <c r="M38" i="6" s="1"/>
</calcChain>
</file>

<file path=xl/sharedStrings.xml><?xml version="1.0" encoding="utf-8"?>
<sst xmlns="http://schemas.openxmlformats.org/spreadsheetml/2006/main" count="236" uniqueCount="164">
  <si>
    <t>DATA</t>
  </si>
  <si>
    <t>air</t>
  </si>
  <si>
    <t>water</t>
  </si>
  <si>
    <t>soil</t>
  </si>
  <si>
    <t>waste</t>
  </si>
  <si>
    <t>Kg</t>
  </si>
  <si>
    <t>%</t>
  </si>
  <si>
    <t>Professional Use</t>
  </si>
  <si>
    <t>Consumer use</t>
  </si>
  <si>
    <t>Indoor Use</t>
  </si>
  <si>
    <t>Outdoor use</t>
  </si>
  <si>
    <t>Brush &amp; Roller</t>
  </si>
  <si>
    <t>Spraying</t>
  </si>
  <si>
    <t>indoor</t>
  </si>
  <si>
    <t>professional</t>
  </si>
  <si>
    <t>consumer</t>
  </si>
  <si>
    <t>outdoor</t>
  </si>
  <si>
    <t>8c</t>
  </si>
  <si>
    <t>8f</t>
  </si>
  <si>
    <t>0.1-0.3</t>
  </si>
  <si>
    <t>0.1-0.25</t>
  </si>
  <si>
    <t>0.01-0.05</t>
  </si>
  <si>
    <t>USE</t>
  </si>
  <si>
    <t>(calculations)</t>
  </si>
  <si>
    <t xml:space="preserve">                       Releases to:</t>
  </si>
  <si>
    <t>Brush &amp; Roller application</t>
  </si>
  <si>
    <t>Spray application</t>
  </si>
  <si>
    <t>Total emissions of SPM</t>
  </si>
  <si>
    <t>5_liq_nsp_in_nv.v3</t>
  </si>
  <si>
    <t>n-spray</t>
  </si>
  <si>
    <t>5_liq_nsp_in_nv_ec.v3</t>
  </si>
  <si>
    <t>electrocoat</t>
  </si>
  <si>
    <t>5_liq_spr_in_nv.v3</t>
  </si>
  <si>
    <t>spraying</t>
  </si>
  <si>
    <t>0.1-0.5</t>
  </si>
  <si>
    <t>5_pow_nsp_in_nv.v3</t>
  </si>
  <si>
    <t>powder</t>
  </si>
  <si>
    <t>5_pow_spr_in_nv.v3</t>
  </si>
  <si>
    <t>0.05-0.3</t>
  </si>
  <si>
    <t>SPM EF water</t>
  </si>
  <si>
    <t>SPM EF Soil</t>
  </si>
  <si>
    <t>Austria</t>
  </si>
  <si>
    <t>EU average</t>
  </si>
  <si>
    <t>Member state table</t>
  </si>
  <si>
    <t>Belgium</t>
  </si>
  <si>
    <t>Bulgaria</t>
  </si>
  <si>
    <t>Croatia</t>
  </si>
  <si>
    <t>Cyprus</t>
  </si>
  <si>
    <t>Czechia</t>
  </si>
  <si>
    <t>Denmark</t>
  </si>
  <si>
    <t>Estonia</t>
  </si>
  <si>
    <t>Finland</t>
  </si>
  <si>
    <t>France</t>
  </si>
  <si>
    <t>Germany</t>
  </si>
  <si>
    <t>Greece</t>
  </si>
  <si>
    <t>Hungary</t>
  </si>
  <si>
    <t>Ireland</t>
  </si>
  <si>
    <t>Italy</t>
  </si>
  <si>
    <t>Latvia</t>
  </si>
  <si>
    <t>Lithuania</t>
  </si>
  <si>
    <t>Luxembourg</t>
  </si>
  <si>
    <t>Malta</t>
  </si>
  <si>
    <t>Netherlands</t>
  </si>
  <si>
    <t>Poland</t>
  </si>
  <si>
    <t>Portugal</t>
  </si>
  <si>
    <t>Rumania</t>
  </si>
  <si>
    <t>Slovakia</t>
  </si>
  <si>
    <t>Slovenia</t>
  </si>
  <si>
    <t xml:space="preserve">Spain </t>
  </si>
  <si>
    <t>Sweden</t>
  </si>
  <si>
    <t>Fraction SPM in the paint</t>
  </si>
  <si>
    <t>Calculation of estimated emissions</t>
  </si>
  <si>
    <t>The use of such factors is based on the work conducted as part of the European Centre for Ecotoxicology and Toxicology of Chemicals (ECETOC) A Concept for estimating the Environmental Release of Synthetic Polymeric Microparticles from Products (E-calc_SPM) Task Force.</t>
  </si>
  <si>
    <t>www.ecetoc.org</t>
  </si>
  <si>
    <t>Publication of the outcome of the ECETOC task force is expected by end on 2026.</t>
  </si>
  <si>
    <t>Calculated member-state specific SPM emission fractions based on the local waste water treatment plant connectivity, removal efficiencies, and sludge disposal data derived from ECHA and EUROSTAT sources. When end use cannot be assigned to specific countries, the EU average value can be used.</t>
  </si>
  <si>
    <t>Version tracking</t>
  </si>
  <si>
    <t>Version</t>
  </si>
  <si>
    <t>Changes</t>
  </si>
  <si>
    <t>Date</t>
  </si>
  <si>
    <t>V1.0</t>
  </si>
  <si>
    <t>Initial version</t>
  </si>
  <si>
    <t>After all data input fields are filled with a value, the SPM emissions are automatically calculated.</t>
  </si>
  <si>
    <t>The worksheet 'WWT Efficiency' is used in the calculations and based on the work by ECETOC.</t>
  </si>
  <si>
    <t>For Widespread Professional or Consumer End-Users</t>
  </si>
  <si>
    <r>
      <t xml:space="preserve">Calculation of Emissions 
of Synthetic Polymer Microparticles
during the </t>
    </r>
    <r>
      <rPr>
        <b/>
        <u/>
        <sz val="26"/>
        <color theme="3"/>
        <rFont val="Calibri"/>
        <family val="2"/>
      </rPr>
      <t>Application</t>
    </r>
    <r>
      <rPr>
        <b/>
        <sz val="26"/>
        <color theme="3"/>
        <rFont val="Calibri"/>
        <family val="2"/>
      </rPr>
      <t xml:space="preserve"> of Paint, Coating and Printing Ink
by Professional and Consumer Users
and at Industrial Sites</t>
    </r>
  </si>
  <si>
    <t>Green fields contain values taken from the CEPE SpERCs version 3 (2025).</t>
  </si>
  <si>
    <t>Pink fields contain values taken from the CEPE SpERCs version 3 (2025) but are ignored in the calculations.</t>
  </si>
  <si>
    <t>More details on the CEPE SpERCs can be found in the documents and background files available on the CEPE Cloud.</t>
  </si>
  <si>
    <t xml:space="preserve">The outcome of the calculation, the value to be reported to ECHA, can be found at the end of the calcuation worksheet. </t>
  </si>
  <si>
    <t>Data entry and calculations are done in the 'Calculation End Use' worksheet of this excel tool.</t>
  </si>
  <si>
    <t xml:space="preserve">Worksheet End Use_ProfCons is the sheet that you can use for your own reporting. </t>
  </si>
  <si>
    <t xml:space="preserve">Worksheet End Use_Industr is the sheet that you can share with your downstream industrial customer for their reporting. </t>
  </si>
  <si>
    <t>CEPE SpERCs Application (CEPE Cloud - ESRAG folder)</t>
  </si>
  <si>
    <t>This folder is only accessible to CEPE members.</t>
  </si>
  <si>
    <t>Tonnes</t>
  </si>
  <si>
    <t>Downstream Use of Liquid Paint, Coating and Printing Ink, and Powder Coatings at Industrial Sites</t>
  </si>
  <si>
    <t>Downstream Use of Solvent-borne, Water-borne and Solvent-free Paint and Coating</t>
  </si>
  <si>
    <r>
      <t xml:space="preserve">Some products contain </t>
    </r>
    <r>
      <rPr>
        <b/>
        <sz val="12"/>
        <color theme="1"/>
        <rFont val="Calibri"/>
        <family val="2"/>
        <scheme val="minor"/>
      </rPr>
      <t>additives which were 100 % SPM</t>
    </r>
    <r>
      <rPr>
        <sz val="12"/>
        <color theme="1"/>
        <rFont val="Calibri"/>
        <family val="2"/>
        <scheme val="minor"/>
      </rPr>
      <t xml:space="preserve"> (e.g. glitter). Total amount of such additives</t>
    </r>
  </si>
  <si>
    <r>
      <t xml:space="preserve">Water-borne products contain water-borne binders. Total amount of </t>
    </r>
    <r>
      <rPr>
        <b/>
        <sz val="12"/>
        <color theme="1"/>
        <rFont val="Calibri"/>
        <family val="2"/>
        <scheme val="minor"/>
      </rPr>
      <t>water-borne binders that are free of SPM</t>
    </r>
  </si>
  <si>
    <r>
      <t xml:space="preserve">and total amount of </t>
    </r>
    <r>
      <rPr>
        <b/>
        <sz val="12"/>
        <color theme="1"/>
        <rFont val="Calibri"/>
        <family val="2"/>
        <scheme val="minor"/>
      </rPr>
      <t>water-borne binders that contain SPM</t>
    </r>
  </si>
  <si>
    <r>
      <t xml:space="preserve">Percentage of products for </t>
    </r>
    <r>
      <rPr>
        <b/>
        <sz val="12"/>
        <color theme="1"/>
        <rFont val="Calibri"/>
        <family val="2"/>
        <scheme val="minor"/>
      </rPr>
      <t>industrial downstream use</t>
    </r>
  </si>
  <si>
    <r>
      <t xml:space="preserve">End-use outside the European Economic Area (EEA) = </t>
    </r>
    <r>
      <rPr>
        <b/>
        <sz val="12"/>
        <color theme="1"/>
        <rFont val="Calibri"/>
        <family val="2"/>
        <scheme val="minor"/>
      </rPr>
      <t>Export</t>
    </r>
  </si>
  <si>
    <r>
      <t xml:space="preserve">The ratio of </t>
    </r>
    <r>
      <rPr>
        <b/>
        <sz val="12"/>
        <color theme="1"/>
        <rFont val="Calibri"/>
        <family val="2"/>
        <scheme val="minor"/>
      </rPr>
      <t>consumers end-use versus professional end-us</t>
    </r>
    <r>
      <rPr>
        <sz val="12"/>
        <color theme="1"/>
        <rFont val="Calibri"/>
        <family val="2"/>
        <scheme val="minor"/>
      </rPr>
      <t>e</t>
    </r>
  </si>
  <si>
    <r>
      <t xml:space="preserve">The ratio of </t>
    </r>
    <r>
      <rPr>
        <b/>
        <sz val="12"/>
        <color theme="1"/>
        <rFont val="Calibri"/>
        <family val="2"/>
        <scheme val="minor"/>
      </rPr>
      <t>indoor use and outdoor use</t>
    </r>
  </si>
  <si>
    <r>
      <t xml:space="preserve">The ratio of </t>
    </r>
    <r>
      <rPr>
        <b/>
        <sz val="12"/>
        <color theme="1"/>
        <rFont val="Calibri"/>
        <family val="2"/>
        <scheme val="minor"/>
      </rPr>
      <t>professional brush / roller versus professional spraying</t>
    </r>
  </si>
  <si>
    <t xml:space="preserve">Applicable CEPE SpERCs </t>
  </si>
  <si>
    <t>For application no distinction is made between solvent-borne and water-borne paints</t>
  </si>
  <si>
    <t>Total emissions of paint</t>
  </si>
  <si>
    <t>The three ratios (cons./prof, indoor/outdoor, B&amp;R/spray) determine the calculated estimated emissions of paint.</t>
  </si>
  <si>
    <t>Average concentration of SPM in the paint, coating or printing ink</t>
  </si>
  <si>
    <r>
      <t xml:space="preserve">Amount brought on the EEA market for </t>
    </r>
    <r>
      <rPr>
        <b/>
        <sz val="12"/>
        <color theme="1"/>
        <rFont val="Calibri"/>
        <family val="2"/>
        <scheme val="minor"/>
      </rPr>
      <t>professional and consumer end-uses</t>
    </r>
    <r>
      <rPr>
        <sz val="12"/>
        <color theme="1"/>
        <rFont val="Calibri"/>
        <family val="2"/>
        <scheme val="minor"/>
      </rPr>
      <t xml:space="preserve"> for the first time.</t>
    </r>
  </si>
  <si>
    <t>This must be multiplied by the actual amount of SPM.</t>
  </si>
  <si>
    <t>Calculation of the total amount concerned (N11) is simple. Export and industrial use are deducted from the amount put on the market (N4).</t>
  </si>
  <si>
    <t>average concentration of SPM in the water-borne binders</t>
  </si>
  <si>
    <r>
      <rPr>
        <b/>
        <sz val="12"/>
        <color theme="1"/>
        <rFont val="Calibri"/>
        <family val="2"/>
        <scheme val="minor"/>
      </rPr>
      <t>EU country</t>
    </r>
    <r>
      <rPr>
        <sz val="12"/>
        <color theme="1"/>
        <rFont val="Calibri"/>
        <family val="2"/>
        <scheme val="minor"/>
      </rPr>
      <t xml:space="preserve"> where the industrial end-use takes place</t>
    </r>
  </si>
  <si>
    <r>
      <t xml:space="preserve">Amount  of paint and coating that the reporting Legal Entity has </t>
    </r>
    <r>
      <rPr>
        <b/>
        <sz val="12"/>
        <color theme="1"/>
        <rFont val="Calibri"/>
        <family val="2"/>
        <scheme val="minor"/>
      </rPr>
      <t xml:space="preserve">put on the market </t>
    </r>
    <r>
      <rPr>
        <sz val="12"/>
        <color theme="1"/>
        <rFont val="Calibri"/>
        <family val="2"/>
        <scheme val="minor"/>
      </rPr>
      <t>in the previous year</t>
    </r>
  </si>
  <si>
    <t>Average concentration of SPM in the electrocoat</t>
  </si>
  <si>
    <t>Based on supplier information.</t>
  </si>
  <si>
    <r>
      <t xml:space="preserve">Amount of </t>
    </r>
    <r>
      <rPr>
        <b/>
        <sz val="12"/>
        <color theme="1"/>
        <rFont val="Calibri"/>
        <family val="2"/>
        <scheme val="minor"/>
      </rPr>
      <t>liquid paint, coating or printing ink</t>
    </r>
    <r>
      <rPr>
        <sz val="12"/>
        <color theme="1"/>
        <rFont val="Calibri"/>
        <family val="2"/>
        <scheme val="minor"/>
      </rPr>
      <t xml:space="preserve"> that the reporting Legal Entity has </t>
    </r>
    <r>
      <rPr>
        <b/>
        <sz val="12"/>
        <color theme="1"/>
        <rFont val="Calibri"/>
        <family val="2"/>
        <scheme val="minor"/>
      </rPr>
      <t>used at their industrial site</t>
    </r>
    <r>
      <rPr>
        <sz val="12"/>
        <color theme="1"/>
        <rFont val="Calibri"/>
        <family val="2"/>
        <scheme val="minor"/>
      </rPr>
      <t xml:space="preserve"> in the previous year.</t>
    </r>
  </si>
  <si>
    <r>
      <t xml:space="preserve">Amount of </t>
    </r>
    <r>
      <rPr>
        <b/>
        <sz val="12"/>
        <color theme="1"/>
        <rFont val="Calibri"/>
        <family val="2"/>
        <scheme val="minor"/>
      </rPr>
      <t>powder coating</t>
    </r>
    <r>
      <rPr>
        <sz val="12"/>
        <color theme="1"/>
        <rFont val="Calibri"/>
        <family val="2"/>
        <scheme val="minor"/>
      </rPr>
      <t xml:space="preserve"> that the reporting Legal Entity has </t>
    </r>
    <r>
      <rPr>
        <b/>
        <sz val="12"/>
        <color theme="1"/>
        <rFont val="Calibri"/>
        <family val="2"/>
        <scheme val="minor"/>
      </rPr>
      <t xml:space="preserve">used at their industrial site </t>
    </r>
    <r>
      <rPr>
        <sz val="12"/>
        <color theme="1"/>
        <rFont val="Calibri"/>
        <family val="2"/>
        <scheme val="minor"/>
      </rPr>
      <t>in the previous year</t>
    </r>
  </si>
  <si>
    <t>Average concentration of synthetic polymer in the powder coating</t>
  </si>
  <si>
    <t>Total amount of SPM in liquid paint, coating and printing ink</t>
  </si>
  <si>
    <t>Total amount of SPM in powder coating</t>
  </si>
  <si>
    <t>Total emissions of liquid paint, coating and printing ink</t>
  </si>
  <si>
    <t>Total emissions of powder coating</t>
  </si>
  <si>
    <t>Fraction SPM in the powder coating</t>
  </si>
  <si>
    <t>Total emissions of SPM from powder coatings</t>
  </si>
  <si>
    <t>Total emissions of SPM from liquid products</t>
  </si>
  <si>
    <t>Fraction SPM in the products</t>
  </si>
  <si>
    <t>Total emission of SPM</t>
  </si>
  <si>
    <r>
      <t xml:space="preserve">Blue fields should be used for your data input. Only these fields can be changed by you. </t>
    </r>
    <r>
      <rPr>
        <b/>
        <sz val="12"/>
        <color theme="1"/>
        <rFont val="Calibri"/>
        <family val="2"/>
      </rPr>
      <t>Pre-filled data is for illustration only !</t>
    </r>
  </si>
  <si>
    <t>Member State Table</t>
  </si>
  <si>
    <r>
      <t xml:space="preserve">Percentage </t>
    </r>
    <r>
      <rPr>
        <b/>
        <sz val="12"/>
        <color theme="1"/>
        <rFont val="Calibri"/>
        <family val="2"/>
        <scheme val="minor"/>
      </rPr>
      <t>spray applicatio</t>
    </r>
    <r>
      <rPr>
        <sz val="12"/>
        <color theme="1"/>
        <rFont val="Calibri"/>
        <family val="2"/>
        <scheme val="minor"/>
      </rPr>
      <t>n (versus non-spray application)</t>
    </r>
  </si>
  <si>
    <r>
      <t xml:space="preserve">Out of the total amount used, how much (in tonnes) of </t>
    </r>
    <r>
      <rPr>
        <b/>
        <sz val="12"/>
        <color theme="1"/>
        <rFont val="Calibri"/>
        <family val="2"/>
        <scheme val="minor"/>
      </rPr>
      <t>electrocoa</t>
    </r>
    <r>
      <rPr>
        <sz val="12"/>
        <color theme="1"/>
        <rFont val="Calibri"/>
        <family val="2"/>
        <scheme val="minor"/>
      </rPr>
      <t>t has been used in the previous year</t>
    </r>
  </si>
  <si>
    <r>
      <t xml:space="preserve">Percentage </t>
    </r>
    <r>
      <rPr>
        <b/>
        <sz val="12"/>
        <color theme="1"/>
        <rFont val="Calibri"/>
        <family val="2"/>
        <scheme val="minor"/>
      </rPr>
      <t>spray application</t>
    </r>
    <r>
      <rPr>
        <sz val="12"/>
        <color theme="1"/>
        <rFont val="Calibri"/>
        <family val="2"/>
        <scheme val="minor"/>
      </rPr>
      <t xml:space="preserve"> (versus non-spray)</t>
    </r>
  </si>
  <si>
    <t xml:space="preserve">This are the estimated emissions based on the used volumes and SPM information you have entered above. This is the value to report to ECHA. </t>
  </si>
  <si>
    <t>We do not distinguish between the type of polymers. When different polymers are used, the total volume can be reporting, listing the different types of polymers as one line in the report.</t>
  </si>
  <si>
    <t>EUROSTAT 2023</t>
  </si>
  <si>
    <t>Own WWTP data</t>
  </si>
  <si>
    <t xml:space="preserve">% of sludge disposal to landfill, incineration, other </t>
  </si>
  <si>
    <t xml:space="preserve"> </t>
  </si>
  <si>
    <t xml:space="preserve">SPM to soil </t>
  </si>
  <si>
    <t>Sewage collected</t>
  </si>
  <si>
    <t xml:space="preserve">Primary treatment </t>
  </si>
  <si>
    <t>Primary &amp; secondary treatment</t>
  </si>
  <si>
    <t>Primary to tertiary treatment</t>
  </si>
  <si>
    <t>Wastewater not treated</t>
  </si>
  <si>
    <t>Cumulated SPM release factor (SPMcum)</t>
  </si>
  <si>
    <t>SPMtotal (environment)</t>
  </si>
  <si>
    <t>Wastewater disposal</t>
  </si>
  <si>
    <t>SPM emission to sludge</t>
  </si>
  <si>
    <t>SPM emission to water</t>
  </si>
  <si>
    <t>WWTP efficiency</t>
  </si>
  <si>
    <t>Select the right country with the dropdown arrow. This will allow the tool the select the appropriate waste water treatment (WWT) emission factor to water and soil based on Eurostat data as a proxy to own data. Alternatively, you can enter your own data in the WWT Efficiency sheet to calculate your own emission factor.</t>
  </si>
  <si>
    <t>% of sludge disposal to soil (agriculture, compost)</t>
  </si>
  <si>
    <t>To calculate a more correct emission factor based on own WWTP data</t>
  </si>
  <si>
    <t>you need to know how the sludge from your WWTP is disposed:</t>
  </si>
  <si>
    <t>you need to know how much of the waste water is collected, treated, and with which efficiency:</t>
  </si>
  <si>
    <t>EU-average</t>
  </si>
  <si>
    <t>The worksheets are protected to avoid accidental changes to the calculated fields. You can check the formulas by selecting Formulas - Show Formulas.</t>
  </si>
  <si>
    <r>
      <t xml:space="preserve">This </t>
    </r>
    <r>
      <rPr>
        <b/>
        <sz val="12"/>
        <rFont val="Calibri"/>
        <family val="2"/>
      </rPr>
      <t>CEPE SPM Calculation Tool</t>
    </r>
    <r>
      <rPr>
        <sz val="12"/>
        <rFont val="Calibri"/>
        <family val="2"/>
      </rPr>
      <t xml:space="preserve"> has been developed to estimate SPM emissions to the environment during the </t>
    </r>
    <r>
      <rPr>
        <b/>
        <sz val="12"/>
        <rFont val="Calibri"/>
        <family val="2"/>
      </rPr>
      <t>end-use application</t>
    </r>
    <r>
      <rPr>
        <sz val="12"/>
        <rFont val="Calibri"/>
        <family val="2"/>
      </rPr>
      <t xml:space="preserve"> of your paint, coating and printing ink.
The estimated SPM emissions must be reported to ECHA by 31 May of each year, covering the emissions of the previous year.
If you sell your products for</t>
    </r>
    <r>
      <rPr>
        <b/>
        <sz val="12"/>
        <rFont val="Calibri"/>
        <family val="2"/>
      </rPr>
      <t xml:space="preserve"> professional and consumer end-use</t>
    </r>
    <r>
      <rPr>
        <sz val="12"/>
        <rFont val="Calibri"/>
        <family val="2"/>
      </rPr>
      <t>, you must report emissions from both their end-use application and your own formulation process. CEPE has developed a separate calculation tool for estimating SPM emissions during formulation.
The worksheet 'Calculation End Use Industrial' in this excel tool is an additional worksheet that you can share with your industrial customers. They must report SPM emissions from their own industrial sites. This extra worksheet uses CEPE SpERCs for industrial applications.</t>
    </r>
  </si>
  <si>
    <t>Ʃ WWT EF</t>
  </si>
  <si>
    <t>SPM WWT emission factor EU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</si>
</sst>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
  </numFmts>
  <fonts count="33" x14ac:knownFonts="1">
    <font>
      <sz val="11"/>
      <color theme="1"/>
      <name val="Calibri"/>
      <family val="2"/>
      <scheme val="minor"/>
    </font>
    <font>
      <sz val="12"/>
      <color theme="1"/>
      <name val="Calibri"/>
      <family val="2"/>
      <scheme val="minor"/>
    </font>
    <font>
      <sz val="14"/>
      <color theme="1"/>
      <name val="Calibri"/>
      <family val="2"/>
    </font>
    <font>
      <b/>
      <sz val="12"/>
      <color theme="1"/>
      <name val="Calibri"/>
      <family val="2"/>
      <scheme val="minor"/>
    </font>
    <font>
      <sz val="18"/>
      <color theme="1"/>
      <name val="Calibri"/>
      <family val="2"/>
      <scheme val="minor"/>
    </font>
    <font>
      <sz val="12"/>
      <color theme="0"/>
      <name val="Calibri"/>
      <family val="2"/>
      <scheme val="minor"/>
    </font>
    <font>
      <sz val="12"/>
      <color rgb="FF000000"/>
      <name val="Calibri"/>
      <family val="2"/>
      <scheme val="minor"/>
    </font>
    <font>
      <u/>
      <sz val="11"/>
      <color theme="10"/>
      <name val="Calibri"/>
      <family val="2"/>
      <scheme val="minor"/>
    </font>
    <font>
      <sz val="18"/>
      <color theme="1"/>
      <name val="Calibri"/>
      <family val="2"/>
      <charset val="1"/>
    </font>
    <font>
      <sz val="12"/>
      <color theme="1"/>
      <name val="Calibri"/>
      <family val="2"/>
      <charset val="1"/>
    </font>
    <font>
      <u/>
      <sz val="12"/>
      <color theme="10"/>
      <name val="Calibri"/>
      <family val="2"/>
      <charset val="1"/>
    </font>
    <font>
      <sz val="12"/>
      <color rgb="FFFF0000"/>
      <name val="Calibri"/>
      <family val="2"/>
      <charset val="1"/>
    </font>
    <font>
      <sz val="12"/>
      <name val="Calibri"/>
      <family val="2"/>
    </font>
    <font>
      <b/>
      <sz val="26"/>
      <color theme="3"/>
      <name val="Calibri"/>
      <family val="2"/>
    </font>
    <font>
      <b/>
      <u/>
      <sz val="26"/>
      <color theme="3"/>
      <name val="Calibri"/>
      <family val="2"/>
    </font>
    <font>
      <b/>
      <sz val="26"/>
      <color theme="3"/>
      <name val="Calibri"/>
      <family val="2"/>
      <scheme val="minor"/>
    </font>
    <font>
      <b/>
      <sz val="12"/>
      <color theme="3"/>
      <name val="Calibri"/>
      <family val="2"/>
      <scheme val="minor"/>
    </font>
    <font>
      <sz val="12"/>
      <name val="Calibri"/>
      <family val="2"/>
      <scheme val="minor"/>
    </font>
    <font>
      <b/>
      <sz val="12"/>
      <name val="Calibri"/>
      <family val="2"/>
    </font>
    <font>
      <sz val="12"/>
      <color theme="1"/>
      <name val="Calibri"/>
      <family val="2"/>
    </font>
    <font>
      <b/>
      <sz val="12"/>
      <color theme="1"/>
      <name val="Calibri"/>
      <family val="2"/>
    </font>
    <font>
      <sz val="12"/>
      <color rgb="FFFF0000"/>
      <name val="Calibri"/>
      <family val="2"/>
    </font>
    <font>
      <i/>
      <sz val="12"/>
      <color theme="1"/>
      <name val="Calibri"/>
      <family val="2"/>
    </font>
    <font>
      <u/>
      <sz val="12"/>
      <color theme="10"/>
      <name val="Calibri"/>
      <family val="2"/>
      <scheme val="minor"/>
    </font>
    <font>
      <b/>
      <sz val="20"/>
      <color theme="1"/>
      <name val="Calibri"/>
      <family val="2"/>
      <scheme val="minor"/>
    </font>
    <font>
      <sz val="12"/>
      <color theme="3"/>
      <name val="Calibri"/>
      <family val="2"/>
      <scheme val="minor"/>
    </font>
    <font>
      <sz val="12"/>
      <color theme="3"/>
      <name val="Calibri"/>
      <family val="2"/>
    </font>
    <font>
      <sz val="12"/>
      <color rgb="FFFF0000"/>
      <name val="Calibri"/>
      <family val="2"/>
      <scheme val="minor"/>
    </font>
    <font>
      <sz val="11"/>
      <name val="Calibri"/>
      <family val="2"/>
      <scheme val="minor"/>
    </font>
    <font>
      <sz val="11"/>
      <name val="Calibri"/>
      <family val="2"/>
    </font>
    <font>
      <sz val="11"/>
      <color theme="1"/>
      <name val="Calibri"/>
      <family val="2"/>
      <scheme val="minor"/>
    </font>
    <font>
      <b/>
      <sz val="11"/>
      <color theme="0"/>
      <name val="Calibri"/>
      <family val="2"/>
      <scheme val="minor"/>
    </font>
    <font>
      <sz val="11"/>
      <color theme="0"/>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59987182226020086"/>
        <bgColor rgb="FF99CCFF"/>
      </patternFill>
    </fill>
    <fill>
      <patternFill patternType="solid">
        <fgColor theme="6" tint="0.39988402966399123"/>
        <bgColor rgb="FFB7DEE8"/>
      </patternFill>
    </fill>
    <fill>
      <patternFill patternType="solid">
        <fgColor theme="9" tint="0.59987182226020086"/>
        <bgColor rgb="FFC3D69B"/>
      </patternFill>
    </fill>
    <fill>
      <patternFill patternType="solid">
        <fgColor theme="0" tint="-4.9989318521683403E-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9" fontId="30" fillId="0" borderId="0" applyFont="0" applyFill="0" applyBorder="0" applyAlignment="0" applyProtection="0"/>
  </cellStyleXfs>
  <cellXfs count="163">
    <xf numFmtId="0" fontId="0" fillId="0" borderId="0" xfId="0"/>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xf>
    <xf numFmtId="0" fontId="12" fillId="0" borderId="0" xfId="0" applyFont="1" applyAlignment="1">
      <alignment horizontal="left" vertical="top"/>
    </xf>
    <xf numFmtId="0" fontId="1" fillId="0" borderId="1" xfId="0" applyFont="1" applyBorder="1"/>
    <xf numFmtId="0" fontId="1" fillId="0" borderId="3" xfId="0" applyFont="1" applyBorder="1"/>
    <xf numFmtId="0" fontId="1" fillId="0" borderId="3" xfId="0" applyFont="1" applyBorder="1" applyAlignment="1">
      <alignment horizontal="center"/>
    </xf>
    <xf numFmtId="0" fontId="1" fillId="0" borderId="2" xfId="0" applyFont="1" applyBorder="1" applyAlignment="1">
      <alignment horizontal="center"/>
    </xf>
    <xf numFmtId="0" fontId="1" fillId="4" borderId="3" xfId="0" applyFont="1" applyFill="1" applyBorder="1" applyAlignment="1">
      <alignment horizontal="center"/>
    </xf>
    <xf numFmtId="0" fontId="1" fillId="0" borderId="13" xfId="0" applyFont="1"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1" fillId="3" borderId="5" xfId="0" applyFont="1" applyFill="1" applyBorder="1" applyAlignment="1">
      <alignment horizontal="center"/>
    </xf>
    <xf numFmtId="0" fontId="1" fillId="3" borderId="9" xfId="0" applyFont="1" applyFill="1" applyBorder="1" applyAlignment="1">
      <alignment horizontal="center"/>
    </xf>
    <xf numFmtId="0" fontId="1" fillId="4" borderId="9" xfId="0" applyFont="1" applyFill="1" applyBorder="1" applyAlignment="1">
      <alignment horizontal="center"/>
    </xf>
    <xf numFmtId="0" fontId="5" fillId="5" borderId="11" xfId="0" applyFont="1" applyFill="1" applyBorder="1"/>
    <xf numFmtId="0" fontId="1" fillId="3" borderId="14" xfId="0" applyFont="1" applyFill="1" applyBorder="1" applyAlignment="1">
      <alignment horizontal="center"/>
    </xf>
    <xf numFmtId="0" fontId="1" fillId="3" borderId="0" xfId="0" applyFont="1" applyFill="1" applyAlignment="1">
      <alignment horizontal="center"/>
    </xf>
    <xf numFmtId="0" fontId="1" fillId="4" borderId="0" xfId="0" applyFont="1" applyFill="1" applyAlignment="1">
      <alignment horizontal="center"/>
    </xf>
    <xf numFmtId="0" fontId="5" fillId="5" borderId="13" xfId="0" applyFont="1" applyFill="1" applyBorder="1"/>
    <xf numFmtId="0" fontId="1" fillId="0" borderId="12" xfId="0" applyFont="1" applyBorder="1" applyAlignment="1">
      <alignment horizontal="center"/>
    </xf>
    <xf numFmtId="0" fontId="1" fillId="0" borderId="7" xfId="0" applyFont="1" applyBorder="1"/>
    <xf numFmtId="0" fontId="1" fillId="0" borderId="7" xfId="0" applyFont="1" applyBorder="1" applyAlignment="1">
      <alignment horizontal="center"/>
    </xf>
    <xf numFmtId="0" fontId="1" fillId="0" borderId="7" xfId="0" applyFont="1" applyBorder="1" applyAlignment="1">
      <alignment horizontal="left"/>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4" borderId="7" xfId="0" applyFont="1" applyFill="1" applyBorder="1" applyAlignment="1">
      <alignment horizontal="center"/>
    </xf>
    <xf numFmtId="10" fontId="1" fillId="0" borderId="0" xfId="0" applyNumberFormat="1" applyFont="1" applyAlignment="1">
      <alignment horizontal="center"/>
    </xf>
    <xf numFmtId="164" fontId="1" fillId="0" borderId="0" xfId="0" applyNumberFormat="1" applyFont="1" applyAlignment="1">
      <alignment horizontal="center"/>
    </xf>
    <xf numFmtId="9" fontId="1" fillId="0" borderId="0" xfId="0" applyNumberFormat="1" applyFont="1" applyAlignment="1">
      <alignment horizontal="center"/>
    </xf>
    <xf numFmtId="0" fontId="1" fillId="0" borderId="5" xfId="0" applyFont="1" applyBorder="1" applyAlignment="1">
      <alignment horizontal="left" vertical="top"/>
    </xf>
    <xf numFmtId="0" fontId="1" fillId="0" borderId="9" xfId="0" applyFont="1" applyBorder="1" applyAlignment="1">
      <alignment horizontal="left" vertical="top" wrapText="1"/>
    </xf>
    <xf numFmtId="0" fontId="1" fillId="0" borderId="14" xfId="0" applyFont="1" applyBorder="1" applyAlignment="1">
      <alignment horizontal="left" vertical="top"/>
    </xf>
    <xf numFmtId="0" fontId="6" fillId="0" borderId="14" xfId="0" applyFont="1" applyBorder="1" applyAlignment="1">
      <alignment horizontal="left" vertical="top"/>
    </xf>
    <xf numFmtId="0" fontId="6" fillId="0" borderId="0" xfId="0" applyFont="1" applyAlignment="1">
      <alignment horizontal="left" vertical="top" wrapText="1"/>
    </xf>
    <xf numFmtId="0" fontId="6" fillId="0" borderId="6" xfId="0" applyFont="1" applyBorder="1" applyAlignment="1">
      <alignment horizontal="left" vertical="top"/>
    </xf>
    <xf numFmtId="0" fontId="6" fillId="0" borderId="7" xfId="0" applyFont="1" applyBorder="1" applyAlignment="1">
      <alignment horizontal="left" vertical="top" wrapText="1"/>
    </xf>
    <xf numFmtId="0" fontId="3" fillId="0" borderId="0" xfId="0" applyFont="1"/>
    <xf numFmtId="0" fontId="13"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top"/>
    </xf>
    <xf numFmtId="14" fontId="12" fillId="0" borderId="0" xfId="0" applyNumberFormat="1" applyFont="1" applyAlignment="1">
      <alignment horizontal="left" vertical="top"/>
    </xf>
    <xf numFmtId="0" fontId="19" fillId="0" borderId="0" xfId="0" applyFont="1" applyAlignment="1">
      <alignment horizontal="left" vertical="top"/>
    </xf>
    <xf numFmtId="0" fontId="19" fillId="6" borderId="0" xfId="0" applyFont="1" applyFill="1" applyAlignment="1">
      <alignment horizontal="left" vertical="top"/>
    </xf>
    <xf numFmtId="0" fontId="19" fillId="0" borderId="0" xfId="0" applyFont="1" applyAlignment="1">
      <alignment horizontal="left" vertical="top" wrapText="1"/>
    </xf>
    <xf numFmtId="0" fontId="19" fillId="7" borderId="0" xfId="0" applyFont="1" applyFill="1" applyAlignment="1">
      <alignment horizontal="left" vertical="top"/>
    </xf>
    <xf numFmtId="0" fontId="19" fillId="8" borderId="0" xfId="0" applyFont="1" applyFill="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23" fillId="0" borderId="0" xfId="1" applyFont="1"/>
    <xf numFmtId="0" fontId="24" fillId="0" borderId="0" xfId="0" applyFont="1" applyAlignment="1">
      <alignment vertical="center"/>
    </xf>
    <xf numFmtId="0" fontId="3" fillId="2" borderId="11" xfId="0" applyFont="1" applyFill="1" applyBorder="1" applyAlignment="1" applyProtection="1">
      <alignment horizontal="center"/>
      <protection locked="0"/>
    </xf>
    <xf numFmtId="0" fontId="1" fillId="2" borderId="13" xfId="0"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2" borderId="12" xfId="0" applyFont="1" applyFill="1" applyBorder="1" applyAlignment="1" applyProtection="1">
      <alignment horizontal="center"/>
      <protection locked="0"/>
    </xf>
    <xf numFmtId="0" fontId="1" fillId="0" borderId="0" xfId="0" applyFont="1" applyAlignment="1">
      <alignment vertical="top"/>
    </xf>
    <xf numFmtId="0" fontId="1" fillId="0" borderId="7" xfId="0" applyFont="1" applyBorder="1" applyAlignment="1">
      <alignment horizontal="left" vertical="top" wrapText="1"/>
    </xf>
    <xf numFmtId="0" fontId="1" fillId="0" borderId="7" xfId="0" applyFont="1" applyBorder="1" applyAlignment="1">
      <alignment horizontal="left" vertical="top"/>
    </xf>
    <xf numFmtId="0" fontId="3" fillId="0" borderId="0" xfId="0" applyFont="1" applyAlignment="1">
      <alignment vertical="top"/>
    </xf>
    <xf numFmtId="0" fontId="3" fillId="0" borderId="0" xfId="0" applyFont="1" applyAlignment="1">
      <alignment horizontal="right" vertical="top"/>
    </xf>
    <xf numFmtId="0" fontId="1" fillId="2" borderId="11" xfId="0" applyFont="1" applyFill="1" applyBorder="1" applyAlignment="1" applyProtection="1">
      <alignment horizontal="left" vertical="top"/>
      <protection locked="0"/>
    </xf>
    <xf numFmtId="0" fontId="1" fillId="2" borderId="13" xfId="0" applyFont="1" applyFill="1" applyBorder="1" applyAlignment="1" applyProtection="1">
      <alignment horizontal="left" vertical="top"/>
      <protection locked="0"/>
    </xf>
    <xf numFmtId="0" fontId="1" fillId="0" borderId="12" xfId="0" applyFont="1" applyBorder="1" applyAlignment="1">
      <alignment horizontal="left" vertical="top"/>
    </xf>
    <xf numFmtId="0" fontId="3" fillId="0" borderId="9" xfId="0" applyFont="1" applyBorder="1" applyAlignment="1">
      <alignment horizontal="left" vertical="top"/>
    </xf>
    <xf numFmtId="0" fontId="1" fillId="0" borderId="10" xfId="0" applyFont="1" applyBorder="1" applyAlignment="1">
      <alignment horizontal="left" vertical="top"/>
    </xf>
    <xf numFmtId="0" fontId="1" fillId="0" borderId="9" xfId="0" applyFont="1" applyBorder="1" applyAlignment="1">
      <alignment horizontal="left" vertical="top"/>
    </xf>
    <xf numFmtId="0" fontId="1" fillId="4" borderId="5" xfId="0" applyFont="1" applyFill="1" applyBorder="1" applyAlignment="1">
      <alignment horizontal="left" vertical="top"/>
    </xf>
    <xf numFmtId="0" fontId="1" fillId="3" borderId="11" xfId="0" applyFont="1" applyFill="1" applyBorder="1" applyAlignment="1">
      <alignment horizontal="left" vertical="top"/>
    </xf>
    <xf numFmtId="0" fontId="1" fillId="3" borderId="5" xfId="0" applyFont="1" applyFill="1" applyBorder="1" applyAlignment="1">
      <alignment horizontal="left" vertical="top"/>
    </xf>
    <xf numFmtId="0" fontId="1" fillId="3" borderId="9" xfId="0" applyFont="1" applyFill="1" applyBorder="1" applyAlignment="1">
      <alignment horizontal="left" vertical="top"/>
    </xf>
    <xf numFmtId="0" fontId="1" fillId="3" borderId="10" xfId="0" applyFont="1" applyFill="1" applyBorder="1" applyAlignment="1">
      <alignment horizontal="left" vertical="top"/>
    </xf>
    <xf numFmtId="0" fontId="1" fillId="4" borderId="5" xfId="0" applyFont="1" applyFill="1" applyBorder="1" applyAlignment="1">
      <alignment horizontal="left" vertical="top" wrapText="1"/>
    </xf>
    <xf numFmtId="0" fontId="5" fillId="0" borderId="11" xfId="0" applyFont="1" applyBorder="1" applyAlignment="1">
      <alignment horizontal="left" vertical="top"/>
    </xf>
    <xf numFmtId="0" fontId="1" fillId="0" borderId="15" xfId="0" applyFont="1" applyBorder="1" applyAlignment="1">
      <alignment horizontal="left" vertical="top"/>
    </xf>
    <xf numFmtId="0" fontId="1" fillId="3" borderId="14" xfId="0" applyFont="1" applyFill="1" applyBorder="1" applyAlignment="1">
      <alignment horizontal="left" vertical="top"/>
    </xf>
    <xf numFmtId="0" fontId="1" fillId="3" borderId="0" xfId="0" applyFont="1" applyFill="1" applyAlignment="1">
      <alignment horizontal="left" vertical="top"/>
    </xf>
    <xf numFmtId="0" fontId="1" fillId="3" borderId="15" xfId="0" applyFont="1" applyFill="1" applyBorder="1" applyAlignment="1">
      <alignment horizontal="left" vertical="top"/>
    </xf>
    <xf numFmtId="0" fontId="1" fillId="4" borderId="14" xfId="0" applyFont="1" applyFill="1" applyBorder="1" applyAlignment="1">
      <alignment horizontal="left" vertical="top" wrapText="1"/>
    </xf>
    <xf numFmtId="0" fontId="5" fillId="0" borderId="13" xfId="0" applyFont="1" applyBorder="1" applyAlignment="1">
      <alignment horizontal="left" vertical="top"/>
    </xf>
    <xf numFmtId="0" fontId="1" fillId="0" borderId="8" xfId="0" applyFont="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0" fontId="1" fillId="3" borderId="8" xfId="0" applyFont="1" applyFill="1" applyBorder="1" applyAlignment="1">
      <alignment horizontal="left" vertical="top"/>
    </xf>
    <xf numFmtId="0" fontId="1" fillId="4" borderId="6" xfId="0" applyFont="1" applyFill="1" applyBorder="1" applyAlignment="1">
      <alignment horizontal="left" vertical="top" wrapText="1"/>
    </xf>
    <xf numFmtId="0" fontId="5" fillId="0" borderId="0" xfId="0" applyFont="1" applyAlignment="1">
      <alignment horizontal="left" vertical="top"/>
    </xf>
    <xf numFmtId="0" fontId="3" fillId="0" borderId="0" xfId="0" applyFont="1" applyAlignment="1">
      <alignment horizontal="left" vertical="top"/>
    </xf>
    <xf numFmtId="1" fontId="3" fillId="0" borderId="0" xfId="0" applyNumberFormat="1" applyFont="1" applyAlignment="1">
      <alignment horizontal="left" vertical="top"/>
    </xf>
    <xf numFmtId="0" fontId="24" fillId="0" borderId="0" xfId="0" applyFont="1" applyAlignment="1">
      <alignment horizontal="left" vertical="top"/>
    </xf>
    <xf numFmtId="0" fontId="16" fillId="0" borderId="0" xfId="0" applyFont="1"/>
    <xf numFmtId="0" fontId="26" fillId="0" borderId="0" xfId="0" applyFont="1" applyAlignment="1">
      <alignment vertical="top" wrapText="1"/>
    </xf>
    <xf numFmtId="0" fontId="16" fillId="0" borderId="0" xfId="0" applyFont="1" applyAlignment="1">
      <alignment horizontal="left" vertical="top"/>
    </xf>
    <xf numFmtId="0" fontId="25" fillId="0" borderId="0" xfId="0" applyFont="1" applyAlignment="1">
      <alignment horizontal="left" vertical="top"/>
    </xf>
    <xf numFmtId="0" fontId="16" fillId="0" borderId="0" xfId="0" applyFont="1" applyAlignment="1">
      <alignment horizontal="right" vertical="top"/>
    </xf>
    <xf numFmtId="1" fontId="16" fillId="0" borderId="0" xfId="0" applyNumberFormat="1" applyFont="1" applyAlignment="1">
      <alignment horizontal="right" vertical="top"/>
    </xf>
    <xf numFmtId="0" fontId="1" fillId="0" borderId="0" xfId="0" applyFont="1" applyAlignment="1">
      <alignment horizontal="right" vertical="top"/>
    </xf>
    <xf numFmtId="1" fontId="3" fillId="0" borderId="0" xfId="0" applyNumberFormat="1" applyFont="1" applyAlignment="1">
      <alignment horizontal="right" vertical="top"/>
    </xf>
    <xf numFmtId="165" fontId="1" fillId="0" borderId="0" xfId="0" applyNumberFormat="1" applyFont="1" applyAlignment="1">
      <alignment horizontal="right" vertical="top"/>
    </xf>
    <xf numFmtId="0" fontId="19" fillId="0" borderId="0" xfId="0" applyFont="1" applyAlignment="1">
      <alignment vertical="top" wrapText="1"/>
    </xf>
    <xf numFmtId="1" fontId="1" fillId="0" borderId="0" xfId="0" applyNumberFormat="1" applyFont="1" applyAlignment="1">
      <alignment horizontal="right" vertical="top"/>
    </xf>
    <xf numFmtId="0" fontId="27" fillId="0" borderId="0" xfId="0" applyFont="1" applyAlignment="1">
      <alignment horizontal="left" vertical="top"/>
    </xf>
    <xf numFmtId="0" fontId="1" fillId="2" borderId="11" xfId="0" applyFont="1" applyFill="1" applyBorder="1" applyAlignment="1" applyProtection="1">
      <alignment horizontal="left" vertical="top" wrapText="1"/>
      <protection locked="0"/>
    </xf>
    <xf numFmtId="0" fontId="12" fillId="0" borderId="14" xfId="0" applyFont="1" applyBorder="1"/>
    <xf numFmtId="165" fontId="12" fillId="0" borderId="14" xfId="0" applyNumberFormat="1" applyFont="1" applyBorder="1" applyAlignment="1">
      <alignment horizontal="center" vertical="center"/>
    </xf>
    <xf numFmtId="165" fontId="12" fillId="0" borderId="15" xfId="0" applyNumberFormat="1" applyFont="1" applyBorder="1" applyAlignment="1">
      <alignment horizontal="center" vertical="center"/>
    </xf>
    <xf numFmtId="165" fontId="18" fillId="0" borderId="13" xfId="0" applyNumberFormat="1" applyFont="1" applyBorder="1" applyAlignment="1">
      <alignment horizontal="center" vertical="center"/>
    </xf>
    <xf numFmtId="0" fontId="12" fillId="0" borderId="6" xfId="0" applyFont="1" applyBorder="1"/>
    <xf numFmtId="165" fontId="12" fillId="0" borderId="6" xfId="0" applyNumberFormat="1" applyFont="1" applyBorder="1" applyAlignment="1">
      <alignment horizontal="center" vertical="center"/>
    </xf>
    <xf numFmtId="165" fontId="12" fillId="0" borderId="8" xfId="0" applyNumberFormat="1" applyFont="1" applyBorder="1" applyAlignment="1">
      <alignment horizontal="center" vertical="center"/>
    </xf>
    <xf numFmtId="165" fontId="18" fillId="0" borderId="12" xfId="0" applyNumberFormat="1" applyFont="1" applyBorder="1" applyAlignment="1">
      <alignment horizontal="center" vertical="center"/>
    </xf>
    <xf numFmtId="0" fontId="12" fillId="0" borderId="14" xfId="0" applyFont="1" applyBorder="1" applyAlignment="1">
      <alignment wrapText="1"/>
    </xf>
    <xf numFmtId="0" fontId="28" fillId="0" borderId="0" xfId="0" applyFont="1"/>
    <xf numFmtId="0" fontId="29" fillId="0" borderId="0" xfId="0" applyFont="1"/>
    <xf numFmtId="0" fontId="11" fillId="0" borderId="0" xfId="0" applyFont="1"/>
    <xf numFmtId="0" fontId="12" fillId="0" borderId="0" xfId="0" applyFont="1"/>
    <xf numFmtId="165" fontId="12" fillId="0" borderId="18" xfId="0" applyNumberFormat="1" applyFont="1" applyBorder="1" applyAlignment="1">
      <alignment horizontal="center" vertical="center"/>
    </xf>
    <xf numFmtId="165" fontId="12" fillId="0" borderId="16" xfId="0" applyNumberFormat="1" applyFont="1" applyBorder="1" applyAlignment="1">
      <alignment horizontal="center" vertical="center"/>
    </xf>
    <xf numFmtId="165" fontId="18" fillId="0" borderId="17" xfId="0" applyNumberFormat="1" applyFont="1" applyBorder="1" applyAlignment="1">
      <alignment horizontal="center" vertical="center"/>
    </xf>
    <xf numFmtId="0" fontId="4" fillId="0" borderId="0" xfId="0" applyFont="1"/>
    <xf numFmtId="0" fontId="8" fillId="0" borderId="0" xfId="0" applyFont="1"/>
    <xf numFmtId="0" fontId="9" fillId="0" borderId="0" xfId="0" applyFont="1"/>
    <xf numFmtId="0" fontId="10" fillId="0" borderId="0" xfId="1" applyFont="1" applyProtection="1"/>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vertical="center"/>
    </xf>
    <xf numFmtId="0" fontId="1" fillId="0" borderId="2" xfId="0" applyFont="1" applyBorder="1"/>
    <xf numFmtId="165" fontId="1" fillId="0" borderId="2" xfId="0" applyNumberFormat="1" applyFont="1" applyBorder="1" applyAlignment="1">
      <alignment horizontal="center" vertical="center"/>
    </xf>
    <xf numFmtId="165" fontId="1" fillId="0" borderId="4" xfId="0" applyNumberFormat="1" applyFont="1" applyBorder="1" applyAlignment="1">
      <alignment horizontal="center" vertical="center"/>
    </xf>
    <xf numFmtId="166" fontId="3" fillId="0" borderId="1" xfId="0" applyNumberFormat="1" applyFont="1" applyBorder="1" applyAlignment="1">
      <alignment horizontal="center" vertical="center"/>
    </xf>
    <xf numFmtId="165" fontId="17" fillId="0" borderId="12" xfId="0" applyNumberFormat="1" applyFont="1" applyBorder="1" applyAlignment="1">
      <alignment horizontal="left" vertical="top"/>
    </xf>
    <xf numFmtId="165" fontId="17" fillId="0" borderId="12" xfId="0" applyNumberFormat="1" applyFont="1" applyBorder="1"/>
    <xf numFmtId="0" fontId="32" fillId="9" borderId="0" xfId="0" applyFont="1" applyFill="1"/>
    <xf numFmtId="0" fontId="31" fillId="9" borderId="0" xfId="0" applyFont="1" applyFill="1"/>
    <xf numFmtId="2" fontId="32" fillId="9" borderId="0" xfId="2" applyNumberFormat="1" applyFont="1" applyFill="1" applyBorder="1" applyAlignment="1" applyProtection="1">
      <alignment horizontal="right" vertical="top"/>
      <protection locked="0"/>
    </xf>
    <xf numFmtId="0" fontId="32" fillId="9" borderId="0" xfId="0" applyFont="1" applyFill="1" applyAlignment="1">
      <alignment vertical="top"/>
    </xf>
    <xf numFmtId="2" fontId="32" fillId="9" borderId="0" xfId="2" applyNumberFormat="1" applyFont="1" applyFill="1" applyBorder="1" applyAlignment="1" applyProtection="1">
      <alignment horizontal="right"/>
    </xf>
    <xf numFmtId="0" fontId="32" fillId="9" borderId="0" xfId="0" applyFont="1" applyFill="1" applyAlignment="1">
      <alignment horizontal="center" vertical="center" wrapText="1"/>
    </xf>
    <xf numFmtId="2" fontId="32" fillId="9" borderId="0" xfId="2" applyNumberFormat="1" applyFont="1" applyFill="1" applyBorder="1" applyAlignment="1" applyProtection="1">
      <alignment vertical="center"/>
      <protection locked="0"/>
    </xf>
    <xf numFmtId="2" fontId="32" fillId="9" borderId="0" xfId="2" applyNumberFormat="1" applyFont="1" applyFill="1" applyBorder="1" applyAlignment="1" applyProtection="1">
      <alignment vertical="center"/>
    </xf>
    <xf numFmtId="0" fontId="32" fillId="9" borderId="0" xfId="0" applyFont="1" applyFill="1" applyAlignment="1">
      <alignment horizontal="center" vertical="center"/>
    </xf>
    <xf numFmtId="2" fontId="32" fillId="9" borderId="0" xfId="2" applyNumberFormat="1" applyFont="1" applyFill="1" applyBorder="1" applyAlignment="1" applyProtection="1">
      <alignment horizontal="center" vertical="center"/>
      <protection locked="0"/>
    </xf>
    <xf numFmtId="0" fontId="32" fillId="9" borderId="0" xfId="0" applyFont="1" applyFill="1" applyAlignment="1" applyProtection="1">
      <alignment horizontal="center" vertical="center"/>
      <protection locked="0"/>
    </xf>
    <xf numFmtId="2" fontId="32" fillId="9" borderId="0" xfId="0" applyNumberFormat="1" applyFont="1" applyFill="1" applyAlignment="1">
      <alignment horizontal="center" vertical="center"/>
    </xf>
    <xf numFmtId="2" fontId="32" fillId="9" borderId="0" xfId="2" applyNumberFormat="1" applyFont="1" applyFill="1" applyBorder="1" applyAlignment="1" applyProtection="1">
      <alignment horizontal="center" vertical="center"/>
    </xf>
    <xf numFmtId="0" fontId="1" fillId="0" borderId="11" xfId="0" applyFont="1" applyBorder="1" applyAlignment="1">
      <alignment horizontal="center"/>
    </xf>
    <xf numFmtId="0" fontId="17" fillId="0" borderId="0" xfId="0" applyFont="1"/>
    <xf numFmtId="0" fontId="16" fillId="0" borderId="0" xfId="0" applyFont="1" applyAlignment="1">
      <alignment horizontal="right" vertical="top"/>
    </xf>
    <xf numFmtId="0" fontId="1" fillId="0" borderId="0" xfId="0" applyFont="1" applyAlignment="1">
      <alignment horizontal="right" vertical="top"/>
    </xf>
    <xf numFmtId="0" fontId="26" fillId="0" borderId="0" xfId="0" applyFont="1" applyAlignment="1">
      <alignment horizontal="left" vertical="top" wrapText="1"/>
    </xf>
    <xf numFmtId="0" fontId="13" fillId="0" borderId="0" xfId="0" applyFont="1" applyAlignment="1">
      <alignment horizontal="left" vertical="center" wrapText="1"/>
    </xf>
    <xf numFmtId="0" fontId="12" fillId="0" borderId="0" xfId="0" applyFont="1" applyAlignment="1">
      <alignment horizontal="left" vertical="top" wrapText="1"/>
    </xf>
    <xf numFmtId="0" fontId="1" fillId="0" borderId="0" xfId="0" applyFont="1" applyAlignment="1">
      <alignment horizontal="left" vertical="top"/>
    </xf>
    <xf numFmtId="0" fontId="1" fillId="0" borderId="15" xfId="0" applyFont="1" applyBorder="1" applyAlignment="1">
      <alignment horizontal="left" vertical="top"/>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2" fontId="32" fillId="9" borderId="0" xfId="0" applyNumberFormat="1" applyFont="1" applyFill="1" applyAlignment="1">
      <alignment horizontal="center" vertical="center"/>
    </xf>
    <xf numFmtId="0" fontId="32" fillId="9" borderId="0" xfId="0" applyFont="1" applyFill="1" applyAlignment="1">
      <alignment horizontal="center" vertical="center"/>
    </xf>
    <xf numFmtId="0" fontId="9" fillId="0" borderId="0" xfId="0" applyFont="1" applyAlignment="1">
      <alignment horizontal="left" vertical="top" wrapText="1"/>
    </xf>
    <xf numFmtId="0" fontId="32" fillId="9" borderId="0" xfId="0" applyFont="1" applyFill="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loud.cepe.org/apps/files/files/129094?dir=/Chemicals%20Management%20%26%20Safety/ESRAG%20Task%20Force/SpERCs/2.%20Applic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eceto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workbookViewId="0">
      <selection activeCell="B20" sqref="B20"/>
    </sheetView>
  </sheetViews>
  <sheetFormatPr defaultRowHeight="15.6" x14ac:dyDescent="0.3"/>
  <cols>
    <col min="1" max="1" width="8.88671875" style="41"/>
    <col min="2" max="2" width="4.109375" style="41" customWidth="1"/>
    <col min="3" max="3" width="8.88671875" style="41"/>
    <col min="4" max="5" width="39.6640625" style="41" customWidth="1"/>
    <col min="6" max="16384" width="8.88671875" style="41"/>
  </cols>
  <sheetData>
    <row r="1" spans="1:12" s="40" customFormat="1" ht="199.8" customHeight="1" x14ac:dyDescent="0.3">
      <c r="A1" s="39"/>
      <c r="B1" s="151" t="s">
        <v>85</v>
      </c>
      <c r="C1" s="151"/>
      <c r="D1" s="151"/>
      <c r="E1" s="151"/>
      <c r="F1" s="151"/>
      <c r="G1" s="151"/>
      <c r="H1" s="151"/>
      <c r="I1" s="151"/>
      <c r="J1" s="151"/>
      <c r="L1" s="39"/>
    </row>
    <row r="2" spans="1:12" ht="23.4" customHeight="1" x14ac:dyDescent="0.3"/>
    <row r="3" spans="1:12" s="4" customFormat="1" ht="117.6" customHeight="1" x14ac:dyDescent="0.3">
      <c r="B3" s="152" t="s">
        <v>161</v>
      </c>
      <c r="C3" s="152"/>
      <c r="D3" s="152"/>
      <c r="E3" s="152"/>
      <c r="F3" s="152"/>
      <c r="G3" s="152"/>
      <c r="H3" s="152"/>
      <c r="I3" s="152"/>
      <c r="J3" s="152"/>
    </row>
    <row r="4" spans="1:12" s="4" customFormat="1" x14ac:dyDescent="0.3"/>
    <row r="5" spans="1:12" s="4" customFormat="1" x14ac:dyDescent="0.3">
      <c r="B5" s="42" t="s">
        <v>90</v>
      </c>
    </row>
    <row r="6" spans="1:12" s="4" customFormat="1" x14ac:dyDescent="0.3">
      <c r="B6" s="4" t="s">
        <v>91</v>
      </c>
    </row>
    <row r="7" spans="1:12" s="4" customFormat="1" x14ac:dyDescent="0.3">
      <c r="B7" s="4" t="s">
        <v>92</v>
      </c>
    </row>
    <row r="8" spans="1:12" s="4" customFormat="1" x14ac:dyDescent="0.3">
      <c r="B8" s="42"/>
    </row>
    <row r="9" spans="1:12" s="44" customFormat="1" x14ac:dyDescent="0.3">
      <c r="B9" s="45"/>
      <c r="C9" s="44" t="s">
        <v>131</v>
      </c>
      <c r="D9" s="46"/>
    </row>
    <row r="10" spans="1:12" s="44" customFormat="1" x14ac:dyDescent="0.3">
      <c r="B10" s="44" t="s">
        <v>82</v>
      </c>
      <c r="D10" s="46"/>
    </row>
    <row r="11" spans="1:12" s="44" customFormat="1" x14ac:dyDescent="0.3">
      <c r="B11" s="47"/>
      <c r="C11" s="44" t="s">
        <v>86</v>
      </c>
      <c r="D11" s="46"/>
    </row>
    <row r="12" spans="1:12" s="44" customFormat="1" x14ac:dyDescent="0.3">
      <c r="B12" s="48"/>
      <c r="C12" s="3" t="s">
        <v>87</v>
      </c>
      <c r="D12" s="46"/>
    </row>
    <row r="13" spans="1:12" s="44" customFormat="1" x14ac:dyDescent="0.3">
      <c r="B13" s="44" t="s">
        <v>88</v>
      </c>
      <c r="C13" s="2"/>
      <c r="D13" s="46"/>
    </row>
    <row r="14" spans="1:12" s="44" customFormat="1" x14ac:dyDescent="0.3">
      <c r="B14" s="52" t="s">
        <v>93</v>
      </c>
      <c r="C14" s="46"/>
      <c r="D14" s="46"/>
      <c r="E14" s="51" t="s">
        <v>94</v>
      </c>
    </row>
    <row r="15" spans="1:12" s="44" customFormat="1" x14ac:dyDescent="0.3">
      <c r="B15" s="44" t="s">
        <v>83</v>
      </c>
      <c r="C15" s="46"/>
      <c r="D15" s="46"/>
    </row>
    <row r="17" spans="2:10" s="44" customFormat="1" x14ac:dyDescent="0.3">
      <c r="B17" s="49" t="s">
        <v>89</v>
      </c>
      <c r="C17" s="46"/>
      <c r="D17" s="46"/>
    </row>
    <row r="18" spans="2:10" s="44" customFormat="1" ht="31.2" customHeight="1" x14ac:dyDescent="0.3">
      <c r="C18" s="152" t="s">
        <v>137</v>
      </c>
      <c r="D18" s="152"/>
      <c r="E18" s="152"/>
      <c r="F18" s="152"/>
      <c r="G18" s="152"/>
      <c r="H18" s="152"/>
      <c r="I18" s="152"/>
      <c r="J18" s="152"/>
    </row>
    <row r="19" spans="2:10" s="44" customFormat="1" x14ac:dyDescent="0.3">
      <c r="C19" s="50"/>
      <c r="D19" s="46"/>
    </row>
    <row r="20" spans="2:10" s="44" customFormat="1" x14ac:dyDescent="0.3">
      <c r="B20" s="4" t="s">
        <v>160</v>
      </c>
      <c r="C20" s="50"/>
      <c r="D20" s="46"/>
    </row>
    <row r="21" spans="2:10" s="44" customFormat="1" x14ac:dyDescent="0.3">
      <c r="C21" s="50"/>
      <c r="D21" s="46"/>
    </row>
    <row r="22" spans="2:10" s="4" customFormat="1" x14ac:dyDescent="0.3">
      <c r="B22" s="42" t="s">
        <v>76</v>
      </c>
    </row>
    <row r="23" spans="2:10" s="4" customFormat="1" x14ac:dyDescent="0.3">
      <c r="C23" s="42" t="s">
        <v>77</v>
      </c>
      <c r="D23" s="42" t="s">
        <v>78</v>
      </c>
      <c r="E23" s="42" t="s">
        <v>79</v>
      </c>
    </row>
    <row r="24" spans="2:10" s="4" customFormat="1" x14ac:dyDescent="0.3">
      <c r="C24" s="4" t="s">
        <v>80</v>
      </c>
      <c r="D24" s="4" t="s">
        <v>81</v>
      </c>
      <c r="E24" s="43">
        <v>46281</v>
      </c>
    </row>
  </sheetData>
  <sheetProtection algorithmName="SHA-512" hashValue="E16ryuOBZDAKZMvMuNQvD8CFhwzyqENTXxivzUdL+eHpLbWH2WqDOJ69nLczW9cEZHHA3dPcrOCoJi72wmFeLQ==" saltValue="EP9cOgpoDnTItphEVsQ5Mw==" spinCount="100000" sheet="1" selectLockedCells="1" selectUnlockedCells="1"/>
  <mergeCells count="3">
    <mergeCell ref="B1:J1"/>
    <mergeCell ref="B3:J3"/>
    <mergeCell ref="C18:J18"/>
  </mergeCells>
  <hyperlinks>
    <hyperlink ref="B14" r:id="rId1" xr:uid="{A978111F-3D45-4F76-8342-EF7279D477CE}"/>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8"/>
  <sheetViews>
    <sheetView workbookViewId="0">
      <selection activeCell="N4" sqref="N4"/>
    </sheetView>
  </sheetViews>
  <sheetFormatPr defaultRowHeight="15.6" x14ac:dyDescent="0.3"/>
  <cols>
    <col min="1" max="5" width="8.88671875" style="1"/>
    <col min="6" max="6" width="9.88671875" style="1" customWidth="1"/>
    <col min="7" max="8" width="8.88671875" style="1"/>
    <col min="9" max="10" width="9.77734375" style="1" customWidth="1"/>
    <col min="11" max="11" width="8.88671875" style="1"/>
    <col min="12" max="12" width="12.109375" style="1" customWidth="1"/>
    <col min="13" max="13" width="13.77734375" style="1" customWidth="1"/>
    <col min="14" max="15" width="10.21875" style="1" customWidth="1"/>
    <col min="16" max="16384" width="8.88671875" style="1"/>
  </cols>
  <sheetData>
    <row r="1" spans="1:15" s="53" customFormat="1" ht="25.8" x14ac:dyDescent="0.3">
      <c r="A1" s="53" t="s">
        <v>97</v>
      </c>
    </row>
    <row r="2" spans="1:15" s="53" customFormat="1" ht="25.8" x14ac:dyDescent="0.3">
      <c r="A2" s="53" t="s">
        <v>84</v>
      </c>
    </row>
    <row r="3" spans="1:15" ht="16.2" thickBot="1" x14ac:dyDescent="0.35"/>
    <row r="4" spans="1:15" x14ac:dyDescent="0.3">
      <c r="A4" s="38" t="s">
        <v>0</v>
      </c>
      <c r="B4" s="1" t="s">
        <v>116</v>
      </c>
      <c r="L4" s="11"/>
      <c r="M4" s="12"/>
      <c r="N4" s="54">
        <v>25000</v>
      </c>
      <c r="O4" s="12" t="s">
        <v>95</v>
      </c>
    </row>
    <row r="5" spans="1:15" x14ac:dyDescent="0.3">
      <c r="B5" s="1" t="s">
        <v>98</v>
      </c>
      <c r="N5" s="55">
        <v>10</v>
      </c>
      <c r="O5" s="12" t="s">
        <v>95</v>
      </c>
    </row>
    <row r="6" spans="1:15" x14ac:dyDescent="0.3">
      <c r="B6" s="1" t="s">
        <v>99</v>
      </c>
      <c r="N6" s="55">
        <v>3750</v>
      </c>
      <c r="O6" s="12" t="s">
        <v>95</v>
      </c>
    </row>
    <row r="7" spans="1:15" x14ac:dyDescent="0.3">
      <c r="C7" s="1" t="s">
        <v>100</v>
      </c>
      <c r="N7" s="55">
        <v>3750</v>
      </c>
      <c r="O7" s="12" t="s">
        <v>95</v>
      </c>
    </row>
    <row r="8" spans="1:15" ht="16.2" thickBot="1" x14ac:dyDescent="0.35">
      <c r="C8" s="1" t="s">
        <v>114</v>
      </c>
      <c r="N8" s="55">
        <v>35</v>
      </c>
      <c r="O8" s="12" t="s">
        <v>6</v>
      </c>
    </row>
    <row r="9" spans="1:15" x14ac:dyDescent="0.3">
      <c r="B9" s="1" t="s">
        <v>102</v>
      </c>
      <c r="L9" s="56">
        <v>20</v>
      </c>
      <c r="M9" s="12" t="s">
        <v>6</v>
      </c>
      <c r="N9" s="10">
        <f>L9*N4/100</f>
        <v>5000</v>
      </c>
      <c r="O9" s="12" t="s">
        <v>95</v>
      </c>
    </row>
    <row r="10" spans="1:15" ht="16.2" thickBot="1" x14ac:dyDescent="0.35">
      <c r="B10" s="1" t="s">
        <v>101</v>
      </c>
      <c r="L10" s="57">
        <v>30</v>
      </c>
      <c r="M10" s="12" t="s">
        <v>6</v>
      </c>
      <c r="N10" s="10">
        <f>L10*N4/100</f>
        <v>7500</v>
      </c>
      <c r="O10" s="12" t="s">
        <v>95</v>
      </c>
    </row>
    <row r="11" spans="1:15" ht="16.2" thickBot="1" x14ac:dyDescent="0.35">
      <c r="A11" s="22"/>
      <c r="B11" s="22" t="s">
        <v>111</v>
      </c>
      <c r="C11" s="22"/>
      <c r="D11" s="22"/>
      <c r="E11" s="22"/>
      <c r="F11" s="22"/>
      <c r="G11" s="22"/>
      <c r="H11" s="22"/>
      <c r="I11" s="22"/>
      <c r="J11" s="22"/>
      <c r="K11" s="22"/>
      <c r="L11" s="23"/>
      <c r="M11" s="24"/>
      <c r="N11" s="21">
        <f>N4-N9-N10</f>
        <v>12500</v>
      </c>
      <c r="O11" s="12" t="s">
        <v>95</v>
      </c>
    </row>
    <row r="12" spans="1:15" ht="16.2" thickBot="1" x14ac:dyDescent="0.35">
      <c r="A12" s="38" t="s">
        <v>22</v>
      </c>
      <c r="B12" s="1" t="s">
        <v>103</v>
      </c>
      <c r="L12" s="11"/>
      <c r="M12" s="12"/>
      <c r="O12" s="11"/>
    </row>
    <row r="13" spans="1:15" x14ac:dyDescent="0.3">
      <c r="C13" s="1" t="s">
        <v>7</v>
      </c>
      <c r="L13" s="56">
        <v>70</v>
      </c>
      <c r="M13" s="12" t="s">
        <v>6</v>
      </c>
      <c r="O13" s="11"/>
    </row>
    <row r="14" spans="1:15" ht="16.2" thickBot="1" x14ac:dyDescent="0.35">
      <c r="C14" s="1" t="s">
        <v>8</v>
      </c>
      <c r="L14" s="21">
        <f>100-L13</f>
        <v>30</v>
      </c>
      <c r="M14" s="12" t="s">
        <v>6</v>
      </c>
      <c r="O14" s="11"/>
    </row>
    <row r="15" spans="1:15" ht="16.2" thickBot="1" x14ac:dyDescent="0.35">
      <c r="B15" s="1" t="s">
        <v>104</v>
      </c>
      <c r="L15" s="11"/>
      <c r="M15" s="12"/>
      <c r="O15" s="11"/>
    </row>
    <row r="16" spans="1:15" x14ac:dyDescent="0.3">
      <c r="C16" s="1" t="s">
        <v>9</v>
      </c>
      <c r="L16" s="56">
        <v>60</v>
      </c>
      <c r="M16" s="12" t="s">
        <v>6</v>
      </c>
      <c r="O16" s="11"/>
    </row>
    <row r="17" spans="1:15" ht="16.2" thickBot="1" x14ac:dyDescent="0.35">
      <c r="C17" s="1" t="s">
        <v>10</v>
      </c>
      <c r="L17" s="21">
        <f>100-L16</f>
        <v>40</v>
      </c>
      <c r="M17" s="12" t="s">
        <v>6</v>
      </c>
      <c r="O17" s="11"/>
    </row>
    <row r="18" spans="1:15" ht="16.2" thickBot="1" x14ac:dyDescent="0.35">
      <c r="B18" s="1" t="s">
        <v>105</v>
      </c>
      <c r="L18" s="11"/>
      <c r="M18" s="12"/>
      <c r="O18" s="11"/>
    </row>
    <row r="19" spans="1:15" x14ac:dyDescent="0.3">
      <c r="C19" s="1" t="s">
        <v>11</v>
      </c>
      <c r="L19" s="56">
        <v>90</v>
      </c>
      <c r="M19" s="12" t="s">
        <v>6</v>
      </c>
      <c r="O19" s="11"/>
    </row>
    <row r="20" spans="1:15" ht="16.2" thickBot="1" x14ac:dyDescent="0.35">
      <c r="A20" s="22"/>
      <c r="B20" s="22"/>
      <c r="C20" s="22" t="s">
        <v>12</v>
      </c>
      <c r="D20" s="22"/>
      <c r="E20" s="22"/>
      <c r="F20" s="22"/>
      <c r="G20" s="22"/>
      <c r="H20" s="22"/>
      <c r="I20" s="22"/>
      <c r="J20" s="22"/>
      <c r="K20" s="22"/>
      <c r="L20" s="21">
        <f>100-L19</f>
        <v>10</v>
      </c>
      <c r="M20" s="12" t="s">
        <v>6</v>
      </c>
      <c r="O20" s="11"/>
    </row>
    <row r="21" spans="1:15" ht="16.2" thickBot="1" x14ac:dyDescent="0.35">
      <c r="A21" s="38" t="s">
        <v>106</v>
      </c>
    </row>
    <row r="22" spans="1:15" ht="16.2" thickBot="1" x14ac:dyDescent="0.35">
      <c r="B22" s="5"/>
      <c r="C22" s="6"/>
      <c r="D22" s="6"/>
      <c r="E22" s="6"/>
      <c r="F22" s="6" t="s">
        <v>24</v>
      </c>
      <c r="G22" s="7"/>
      <c r="H22" s="7"/>
      <c r="I22" s="8" t="s">
        <v>1</v>
      </c>
      <c r="J22" s="7" t="s">
        <v>2</v>
      </c>
      <c r="K22" s="7" t="s">
        <v>3</v>
      </c>
      <c r="L22" s="9" t="s">
        <v>4</v>
      </c>
      <c r="M22" s="146" t="s">
        <v>23</v>
      </c>
    </row>
    <row r="23" spans="1:15" x14ac:dyDescent="0.3">
      <c r="B23" s="10" t="s">
        <v>17</v>
      </c>
      <c r="C23" s="1" t="s">
        <v>25</v>
      </c>
      <c r="F23" s="11" t="s">
        <v>13</v>
      </c>
      <c r="G23" s="12" t="s">
        <v>14</v>
      </c>
      <c r="H23" s="11"/>
      <c r="I23" s="13">
        <v>0</v>
      </c>
      <c r="J23" s="14">
        <v>2E-3</v>
      </c>
      <c r="K23" s="14">
        <v>0</v>
      </c>
      <c r="L23" s="15" t="s">
        <v>21</v>
      </c>
      <c r="M23" s="16">
        <f>N11*1000*(I23+(J23*M29)+K23)*(L13/100)*(L16/100)*(L19/100)</f>
        <v>5465.88</v>
      </c>
    </row>
    <row r="24" spans="1:15" x14ac:dyDescent="0.3">
      <c r="B24" s="10" t="s">
        <v>17</v>
      </c>
      <c r="C24" s="1" t="s">
        <v>25</v>
      </c>
      <c r="F24" s="11" t="s">
        <v>13</v>
      </c>
      <c r="G24" s="12" t="s">
        <v>15</v>
      </c>
      <c r="H24" s="11"/>
      <c r="I24" s="17">
        <v>0</v>
      </c>
      <c r="J24" s="18">
        <v>0.01</v>
      </c>
      <c r="K24" s="18">
        <v>0</v>
      </c>
      <c r="L24" s="19" t="s">
        <v>20</v>
      </c>
      <c r="M24" s="20">
        <f>N11*1000*(I24+(J24*M29)+K24)*(L14/100)*(L16/100)*(L19/100)</f>
        <v>11712.6</v>
      </c>
    </row>
    <row r="25" spans="1:15" x14ac:dyDescent="0.3">
      <c r="B25" s="10" t="s">
        <v>18</v>
      </c>
      <c r="C25" s="1" t="s">
        <v>25</v>
      </c>
      <c r="F25" s="11" t="s">
        <v>16</v>
      </c>
      <c r="G25" s="12" t="s">
        <v>14</v>
      </c>
      <c r="H25" s="11"/>
      <c r="I25" s="17">
        <v>0</v>
      </c>
      <c r="J25" s="18">
        <v>2E-3</v>
      </c>
      <c r="K25" s="18">
        <v>0.01</v>
      </c>
      <c r="L25" s="19" t="s">
        <v>21</v>
      </c>
      <c r="M25" s="20">
        <f>N11*1000*(I25+(J25*M29)+K25)*(L13/100)*(L17/100)*(L19/100)</f>
        <v>35143.920000000006</v>
      </c>
    </row>
    <row r="26" spans="1:15" x14ac:dyDescent="0.3">
      <c r="B26" s="10" t="s">
        <v>18</v>
      </c>
      <c r="C26" s="1" t="s">
        <v>25</v>
      </c>
      <c r="F26" s="11" t="s">
        <v>16</v>
      </c>
      <c r="G26" s="12" t="s">
        <v>15</v>
      </c>
      <c r="H26" s="11"/>
      <c r="I26" s="17">
        <v>0</v>
      </c>
      <c r="J26" s="18">
        <v>0.01</v>
      </c>
      <c r="K26" s="18">
        <v>0.01</v>
      </c>
      <c r="L26" s="19" t="s">
        <v>20</v>
      </c>
      <c r="M26" s="20">
        <f>N11*1000*(I26+(J26*M29)+K26)*(L14/100)*(L17/100)*(L19/100)</f>
        <v>21308.400000000001</v>
      </c>
    </row>
    <row r="27" spans="1:15" x14ac:dyDescent="0.3">
      <c r="B27" s="10" t="s">
        <v>17</v>
      </c>
      <c r="C27" s="1" t="s">
        <v>26</v>
      </c>
      <c r="F27" s="11" t="s">
        <v>13</v>
      </c>
      <c r="G27" s="12" t="s">
        <v>14</v>
      </c>
      <c r="H27" s="11"/>
      <c r="I27" s="17">
        <v>0.01</v>
      </c>
      <c r="J27" s="18">
        <v>0</v>
      </c>
      <c r="K27" s="18">
        <v>0</v>
      </c>
      <c r="L27" s="19" t="s">
        <v>19</v>
      </c>
      <c r="M27" s="20">
        <f>N11*1000*(I27+J27+K27)*(L13/100)*(L16/100)*(L20/100)</f>
        <v>5250</v>
      </c>
    </row>
    <row r="28" spans="1:15" ht="16.2" thickBot="1" x14ac:dyDescent="0.35">
      <c r="B28" s="21" t="s">
        <v>18</v>
      </c>
      <c r="C28" s="22" t="s">
        <v>26</v>
      </c>
      <c r="D28" s="22"/>
      <c r="E28" s="22"/>
      <c r="F28" s="23" t="s">
        <v>16</v>
      </c>
      <c r="G28" s="24" t="s">
        <v>14</v>
      </c>
      <c r="H28" s="23"/>
      <c r="I28" s="25">
        <v>0.05</v>
      </c>
      <c r="J28" s="26">
        <v>0.01</v>
      </c>
      <c r="K28" s="26">
        <v>0.01</v>
      </c>
      <c r="L28" s="27" t="s">
        <v>19</v>
      </c>
      <c r="M28" s="20">
        <f>N11*1000*(I28+(J28*M29)+K28)*(L13/100)*(L17/100)*(L20/100)</f>
        <v>23024.399999999998</v>
      </c>
    </row>
    <row r="29" spans="1:15" ht="16.2" thickBot="1" x14ac:dyDescent="0.35">
      <c r="C29" s="1" t="s">
        <v>107</v>
      </c>
      <c r="G29" s="28"/>
      <c r="H29" s="29"/>
      <c r="I29" s="30"/>
      <c r="J29" s="11"/>
      <c r="M29" s="132">
        <v>0.57840000000000003</v>
      </c>
      <c r="N29" s="147" t="s">
        <v>163</v>
      </c>
    </row>
    <row r="31" spans="1:15" x14ac:dyDescent="0.3">
      <c r="A31" s="91" t="s">
        <v>71</v>
      </c>
    </row>
    <row r="32" spans="1:15" x14ac:dyDescent="0.3">
      <c r="B32" s="1" t="s">
        <v>113</v>
      </c>
    </row>
    <row r="33" spans="2:25" x14ac:dyDescent="0.3">
      <c r="B33" s="1" t="s">
        <v>109</v>
      </c>
    </row>
    <row r="34" spans="2:25" x14ac:dyDescent="0.3">
      <c r="B34" s="1" t="s">
        <v>112</v>
      </c>
    </row>
    <row r="36" spans="2:25" x14ac:dyDescent="0.3">
      <c r="I36" s="149" t="s">
        <v>108</v>
      </c>
      <c r="J36" s="149"/>
      <c r="K36" s="149"/>
      <c r="L36" s="149"/>
      <c r="M36" s="98">
        <f>SUM(M23:M28)</f>
        <v>101905.20000000001</v>
      </c>
      <c r="N36" s="61" t="s">
        <v>5</v>
      </c>
    </row>
    <row r="37" spans="2:25" x14ac:dyDescent="0.3">
      <c r="I37" s="149" t="s">
        <v>70</v>
      </c>
      <c r="J37" s="149"/>
      <c r="K37" s="149"/>
      <c r="L37" s="149"/>
      <c r="M37" s="99">
        <f>((N8/100)*N7+N5)/N4</f>
        <v>5.2900000000000003E-2</v>
      </c>
      <c r="N37" s="58"/>
    </row>
    <row r="38" spans="2:25" ht="42.6" customHeight="1" x14ac:dyDescent="0.3">
      <c r="I38" s="148" t="s">
        <v>27</v>
      </c>
      <c r="J38" s="148"/>
      <c r="K38" s="148"/>
      <c r="L38" s="148"/>
      <c r="M38" s="96">
        <f>M36*M37</f>
        <v>5390.7850800000006</v>
      </c>
      <c r="N38" s="93" t="s">
        <v>5</v>
      </c>
      <c r="O38" s="150" t="s">
        <v>136</v>
      </c>
      <c r="P38" s="150"/>
      <c r="Q38" s="150"/>
      <c r="R38" s="150"/>
      <c r="S38" s="150"/>
      <c r="T38" s="150"/>
      <c r="U38" s="150"/>
      <c r="V38" s="150"/>
      <c r="W38" s="150"/>
      <c r="X38" s="150"/>
      <c r="Y38" s="150"/>
    </row>
  </sheetData>
  <sheetProtection algorithmName="SHA-512" hashValue="Lk8G6Wk+KqWL1EbVrNPSo7FHGxZ5/6dIDGJso/hDaMBFImzJGtU0lxq8LluQ1GG60b3ouIFbc8aPgu8seJsbgA==" saltValue="0yU7df7wzENIzYRY+Bn0/g==" spinCount="100000" sheet="1" formatColumns="0" selectLockedCells="1"/>
  <mergeCells count="4">
    <mergeCell ref="I38:L38"/>
    <mergeCell ref="I36:L36"/>
    <mergeCell ref="I37:L37"/>
    <mergeCell ref="O38:Y38"/>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4"/>
  <sheetViews>
    <sheetView workbookViewId="0">
      <selection activeCell="K3" sqref="K3"/>
    </sheetView>
  </sheetViews>
  <sheetFormatPr defaultRowHeight="15.6" x14ac:dyDescent="0.3"/>
  <cols>
    <col min="1" max="1" width="8.88671875" style="3"/>
    <col min="2" max="6" width="10.21875" style="3" customWidth="1"/>
    <col min="7" max="7" width="14.77734375" style="3" customWidth="1"/>
    <col min="8" max="8" width="9.77734375" style="3" customWidth="1"/>
    <col min="9" max="9" width="10.21875" style="3" customWidth="1"/>
    <col min="10" max="10" width="9.44140625" style="3" customWidth="1"/>
    <col min="11" max="11" width="13" style="3" customWidth="1"/>
    <col min="12" max="12" width="10.77734375" style="3" customWidth="1"/>
    <col min="13" max="13" width="79.109375" style="3" customWidth="1"/>
    <col min="14" max="16384" width="8.88671875" style="3"/>
  </cols>
  <sheetData>
    <row r="1" spans="1:14" ht="25.8" x14ac:dyDescent="0.3">
      <c r="A1" s="90" t="s">
        <v>96</v>
      </c>
    </row>
    <row r="2" spans="1:14" ht="16.2" thickBot="1" x14ac:dyDescent="0.35"/>
    <row r="3" spans="1:14" ht="78" x14ac:dyDescent="0.3">
      <c r="A3" s="88" t="s">
        <v>0</v>
      </c>
      <c r="B3" s="153" t="s">
        <v>115</v>
      </c>
      <c r="C3" s="153"/>
      <c r="D3" s="153"/>
      <c r="E3" s="153"/>
      <c r="F3" s="153"/>
      <c r="G3" s="153"/>
      <c r="H3" s="153"/>
      <c r="I3" s="153"/>
      <c r="J3" s="154"/>
      <c r="K3" s="103" t="s">
        <v>49</v>
      </c>
      <c r="M3" s="100" t="s">
        <v>154</v>
      </c>
      <c r="N3" s="102"/>
    </row>
    <row r="4" spans="1:14" ht="32.4" customHeight="1" x14ac:dyDescent="0.3">
      <c r="B4" s="155" t="s">
        <v>119</v>
      </c>
      <c r="C4" s="155"/>
      <c r="D4" s="155"/>
      <c r="E4" s="155"/>
      <c r="F4" s="155"/>
      <c r="G4" s="155"/>
      <c r="H4" s="155"/>
      <c r="I4" s="155"/>
      <c r="J4" s="156"/>
      <c r="K4" s="64">
        <v>100</v>
      </c>
      <c r="L4" s="3" t="s">
        <v>95</v>
      </c>
    </row>
    <row r="5" spans="1:14" x14ac:dyDescent="0.3">
      <c r="B5" s="3" t="s">
        <v>110</v>
      </c>
      <c r="K5" s="64">
        <v>10</v>
      </c>
      <c r="L5" s="3" t="s">
        <v>6</v>
      </c>
      <c r="M5" s="2" t="s">
        <v>118</v>
      </c>
    </row>
    <row r="6" spans="1:14" x14ac:dyDescent="0.3">
      <c r="B6" s="3" t="s">
        <v>133</v>
      </c>
      <c r="K6" s="64">
        <v>0</v>
      </c>
      <c r="L6" s="3" t="s">
        <v>6</v>
      </c>
    </row>
    <row r="7" spans="1:14" x14ac:dyDescent="0.3">
      <c r="B7" s="3" t="s">
        <v>134</v>
      </c>
      <c r="K7" s="64">
        <v>100</v>
      </c>
      <c r="L7" s="3" t="s">
        <v>95</v>
      </c>
    </row>
    <row r="8" spans="1:14" x14ac:dyDescent="0.3">
      <c r="B8" s="3" t="s">
        <v>117</v>
      </c>
      <c r="K8" s="64">
        <v>10</v>
      </c>
      <c r="L8" s="3" t="s">
        <v>6</v>
      </c>
    </row>
    <row r="9" spans="1:14" ht="16.2" thickBot="1" x14ac:dyDescent="0.35">
      <c r="A9" s="60"/>
      <c r="B9" s="60" t="s">
        <v>122</v>
      </c>
      <c r="C9" s="60"/>
      <c r="D9" s="60"/>
      <c r="E9" s="60"/>
      <c r="F9" s="60"/>
      <c r="G9" s="60"/>
      <c r="H9" s="60"/>
      <c r="I9" s="60"/>
      <c r="J9" s="60"/>
      <c r="K9" s="65">
        <f>(K5*(K4-K7)/100)+K7*K8/100</f>
        <v>10</v>
      </c>
      <c r="L9" s="3" t="s">
        <v>95</v>
      </c>
    </row>
    <row r="10" spans="1:14" ht="32.4" customHeight="1" x14ac:dyDescent="0.3">
      <c r="B10" s="157" t="s">
        <v>120</v>
      </c>
      <c r="C10" s="157"/>
      <c r="D10" s="157"/>
      <c r="E10" s="157"/>
      <c r="F10" s="157"/>
      <c r="G10" s="157"/>
      <c r="H10" s="157"/>
      <c r="I10" s="157"/>
      <c r="J10" s="158"/>
      <c r="K10" s="63">
        <v>0</v>
      </c>
      <c r="L10" s="3" t="s">
        <v>95</v>
      </c>
    </row>
    <row r="11" spans="1:14" x14ac:dyDescent="0.3">
      <c r="B11" s="3" t="s">
        <v>121</v>
      </c>
      <c r="K11" s="64">
        <v>40</v>
      </c>
      <c r="L11" s="3" t="s">
        <v>6</v>
      </c>
      <c r="M11" s="3" t="s">
        <v>118</v>
      </c>
    </row>
    <row r="12" spans="1:14" x14ac:dyDescent="0.3">
      <c r="B12" s="3" t="s">
        <v>135</v>
      </c>
      <c r="K12" s="64">
        <v>95</v>
      </c>
      <c r="L12" s="3" t="s">
        <v>6</v>
      </c>
    </row>
    <row r="13" spans="1:14" ht="16.2" thickBot="1" x14ac:dyDescent="0.35">
      <c r="A13" s="60"/>
      <c r="B13" s="60" t="s">
        <v>123</v>
      </c>
      <c r="C13" s="60"/>
      <c r="D13" s="60"/>
      <c r="E13" s="60"/>
      <c r="F13" s="60"/>
      <c r="G13" s="60"/>
      <c r="H13" s="60"/>
      <c r="I13" s="60"/>
      <c r="J13" s="60"/>
      <c r="K13" s="65">
        <f>K10*K11/100</f>
        <v>0</v>
      </c>
      <c r="L13" s="3" t="s">
        <v>95</v>
      </c>
    </row>
    <row r="15" spans="1:14" ht="16.2" thickBot="1" x14ac:dyDescent="0.35">
      <c r="A15" s="88" t="s">
        <v>106</v>
      </c>
    </row>
    <row r="16" spans="1:14" ht="16.2" thickBot="1" x14ac:dyDescent="0.35">
      <c r="B16" s="31"/>
      <c r="C16" s="66"/>
      <c r="D16" s="67"/>
      <c r="E16" s="68"/>
      <c r="F16" s="68" t="s">
        <v>24</v>
      </c>
      <c r="G16" s="68"/>
      <c r="H16" s="68" t="s">
        <v>1</v>
      </c>
      <c r="I16" s="68" t="s">
        <v>2</v>
      </c>
      <c r="J16" s="68" t="s">
        <v>3</v>
      </c>
      <c r="K16" s="69" t="s">
        <v>4</v>
      </c>
      <c r="L16" s="70" t="s">
        <v>23</v>
      </c>
    </row>
    <row r="17" spans="1:13" x14ac:dyDescent="0.3">
      <c r="B17" s="31" t="s">
        <v>28</v>
      </c>
      <c r="C17" s="68"/>
      <c r="D17" s="67"/>
      <c r="E17" s="32" t="s">
        <v>29</v>
      </c>
      <c r="F17" s="32" t="s">
        <v>13</v>
      </c>
      <c r="G17" s="32"/>
      <c r="H17" s="71">
        <v>0</v>
      </c>
      <c r="I17" s="72">
        <v>0</v>
      </c>
      <c r="J17" s="73">
        <v>0</v>
      </c>
      <c r="K17" s="74">
        <v>0.01</v>
      </c>
      <c r="L17" s="75">
        <f>(K4-K7)*1000*(H17+I17+J17)*(100-K6)/100</f>
        <v>0</v>
      </c>
    </row>
    <row r="18" spans="1:13" x14ac:dyDescent="0.3">
      <c r="B18" s="33" t="s">
        <v>30</v>
      </c>
      <c r="D18" s="76"/>
      <c r="E18" s="2" t="s">
        <v>29</v>
      </c>
      <c r="F18" s="2" t="s">
        <v>13</v>
      </c>
      <c r="G18" s="2" t="s">
        <v>31</v>
      </c>
      <c r="H18" s="77">
        <v>0</v>
      </c>
      <c r="I18" s="78">
        <v>2E-3</v>
      </c>
      <c r="J18" s="79">
        <v>0</v>
      </c>
      <c r="K18" s="80">
        <v>0.02</v>
      </c>
      <c r="L18" s="81">
        <f>K7*1000*(H18+(I18*L22)+J18)</f>
        <v>173.36</v>
      </c>
    </row>
    <row r="19" spans="1:13" x14ac:dyDescent="0.3">
      <c r="B19" s="34" t="s">
        <v>32</v>
      </c>
      <c r="D19" s="76"/>
      <c r="E19" s="35" t="s">
        <v>33</v>
      </c>
      <c r="F19" s="2" t="s">
        <v>13</v>
      </c>
      <c r="G19" s="2"/>
      <c r="H19" s="77">
        <v>5.0000000000000001E-3</v>
      </c>
      <c r="I19" s="78">
        <v>0</v>
      </c>
      <c r="J19" s="79">
        <v>0</v>
      </c>
      <c r="K19" s="80" t="s">
        <v>34</v>
      </c>
      <c r="L19" s="81">
        <f>K6/100*1000*(H19+I19+J19)*(K4-K7)</f>
        <v>0</v>
      </c>
    </row>
    <row r="20" spans="1:13" x14ac:dyDescent="0.3">
      <c r="B20" s="33" t="s">
        <v>35</v>
      </c>
      <c r="D20" s="76"/>
      <c r="E20" s="2" t="s">
        <v>29</v>
      </c>
      <c r="F20" s="2" t="s">
        <v>13</v>
      </c>
      <c r="G20" s="2" t="s">
        <v>36</v>
      </c>
      <c r="H20" s="77">
        <v>0</v>
      </c>
      <c r="I20" s="78">
        <v>0</v>
      </c>
      <c r="J20" s="79">
        <v>0</v>
      </c>
      <c r="K20" s="80">
        <v>0.01</v>
      </c>
      <c r="L20" s="81">
        <f>K10*1000*(H20+I20+J20)*(100-K12)/100</f>
        <v>0</v>
      </c>
    </row>
    <row r="21" spans="1:13" ht="16.2" thickBot="1" x14ac:dyDescent="0.35">
      <c r="A21" s="60"/>
      <c r="B21" s="36" t="s">
        <v>37</v>
      </c>
      <c r="C21" s="60"/>
      <c r="D21" s="82"/>
      <c r="E21" s="37" t="s">
        <v>33</v>
      </c>
      <c r="F21" s="59" t="s">
        <v>13</v>
      </c>
      <c r="G21" s="60" t="s">
        <v>36</v>
      </c>
      <c r="H21" s="83">
        <v>2.0000000000000001E-4</v>
      </c>
      <c r="I21" s="84">
        <v>0</v>
      </c>
      <c r="J21" s="85">
        <v>0</v>
      </c>
      <c r="K21" s="86" t="s">
        <v>38</v>
      </c>
      <c r="L21" s="81">
        <f>K10*1000*K12*(H21+I21+J21)/100</f>
        <v>0</v>
      </c>
    </row>
    <row r="22" spans="1:13" ht="16.2" thickBot="1" x14ac:dyDescent="0.35">
      <c r="L22" s="131">
        <f>VLOOKUP(K3,'WWT Efficiency'!A14:D41,4,0)</f>
        <v>0.86680000000000001</v>
      </c>
      <c r="M22" s="41" t="str">
        <f>"SPM WWT emission factor " &amp; K3</f>
        <v>SPM WWT emission factor Denmark</v>
      </c>
    </row>
    <row r="23" spans="1:13" x14ac:dyDescent="0.3">
      <c r="L23" s="87"/>
    </row>
    <row r="24" spans="1:13" x14ac:dyDescent="0.3">
      <c r="A24" s="93" t="s">
        <v>71</v>
      </c>
      <c r="L24" s="87"/>
    </row>
    <row r="25" spans="1:13" x14ac:dyDescent="0.3">
      <c r="L25" s="87"/>
    </row>
    <row r="26" spans="1:13" x14ac:dyDescent="0.3">
      <c r="B26" s="3" t="s">
        <v>124</v>
      </c>
      <c r="D26" s="88"/>
      <c r="E26" s="88"/>
      <c r="F26" s="88"/>
      <c r="G26" s="101">
        <f>SUM(L17:L19)</f>
        <v>173.36</v>
      </c>
      <c r="H26" s="3" t="s">
        <v>5</v>
      </c>
    </row>
    <row r="27" spans="1:13" x14ac:dyDescent="0.3">
      <c r="B27" s="88"/>
      <c r="C27" s="3" t="s">
        <v>129</v>
      </c>
      <c r="D27" s="88"/>
      <c r="G27" s="99">
        <f>((K5*(K4-K7)/100)+(K7*K8/100))/K4</f>
        <v>0.1</v>
      </c>
    </row>
    <row r="28" spans="1:13" x14ac:dyDescent="0.3">
      <c r="B28" s="88" t="s">
        <v>128</v>
      </c>
      <c r="D28" s="88"/>
      <c r="G28" s="98">
        <f>G26*G27</f>
        <v>17.336000000000002</v>
      </c>
      <c r="H28" s="88" t="s">
        <v>5</v>
      </c>
    </row>
    <row r="29" spans="1:13" x14ac:dyDescent="0.3">
      <c r="B29" s="88"/>
      <c r="F29" s="89"/>
      <c r="G29" s="62"/>
    </row>
    <row r="30" spans="1:13" x14ac:dyDescent="0.3">
      <c r="B30" s="3" t="s">
        <v>125</v>
      </c>
      <c r="D30" s="88"/>
      <c r="E30" s="88"/>
      <c r="F30" s="88"/>
      <c r="G30" s="101">
        <f>SUM(L20:L21)</f>
        <v>0</v>
      </c>
      <c r="H30" s="3" t="s">
        <v>5</v>
      </c>
    </row>
    <row r="31" spans="1:13" x14ac:dyDescent="0.3">
      <c r="B31" s="88"/>
      <c r="C31" s="3" t="s">
        <v>126</v>
      </c>
      <c r="D31" s="88"/>
      <c r="G31" s="99">
        <f>K11/100</f>
        <v>0.4</v>
      </c>
    </row>
    <row r="32" spans="1:13" x14ac:dyDescent="0.3">
      <c r="B32" s="88" t="s">
        <v>127</v>
      </c>
      <c r="D32" s="88"/>
      <c r="G32" s="98">
        <f>G30*G31</f>
        <v>0</v>
      </c>
      <c r="H32" s="88" t="s">
        <v>5</v>
      </c>
    </row>
    <row r="33" spans="5:19" x14ac:dyDescent="0.3">
      <c r="G33" s="97"/>
    </row>
    <row r="34" spans="5:19" ht="34.200000000000003" customHeight="1" x14ac:dyDescent="0.3">
      <c r="E34" s="94"/>
      <c r="F34" s="95" t="s">
        <v>130</v>
      </c>
      <c r="G34" s="96">
        <f>G32+G28</f>
        <v>17.336000000000002</v>
      </c>
      <c r="H34" s="93" t="s">
        <v>5</v>
      </c>
      <c r="I34" s="150" t="s">
        <v>136</v>
      </c>
      <c r="J34" s="150"/>
      <c r="K34" s="150"/>
      <c r="L34" s="150"/>
      <c r="M34" s="150"/>
      <c r="N34" s="92"/>
      <c r="O34" s="92"/>
      <c r="P34" s="92"/>
      <c r="Q34" s="92"/>
      <c r="R34" s="92"/>
      <c r="S34" s="92"/>
    </row>
  </sheetData>
  <sheetProtection algorithmName="SHA-512" hashValue="Mb7HPbcvGUHbG4Y4XfW585BrINfCs3Pnsulg7iKDJMA7VHnFWf70a8ka4PV2309zmYlegJCCK2VVrk/LYktdng==" saltValue="wgQ892/TyFkqf+LwDdD9UQ==" spinCount="100000" sheet="1" formatColumns="0" selectLockedCells="1"/>
  <mergeCells count="4">
    <mergeCell ref="B3:J3"/>
    <mergeCell ref="B4:J4"/>
    <mergeCell ref="B10:J10"/>
    <mergeCell ref="I34:M34"/>
  </mergeCells>
  <pageMargins left="0.7" right="0.7" top="0.75" bottom="0.75" header="0.3" footer="0.3"/>
  <pageSetup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02368BE-EA54-41D4-90FF-E6C60717BC32}">
          <x14:formula1>
            <xm:f>'WWT Efficiency'!$A$15:$A$42</xm:f>
          </x14:formula1>
          <xm:sqref>K3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2"/>
  <sheetViews>
    <sheetView workbookViewId="0">
      <selection activeCell="H15" sqref="H15"/>
    </sheetView>
  </sheetViews>
  <sheetFormatPr defaultRowHeight="14.4" x14ac:dyDescent="0.3"/>
  <cols>
    <col min="1" max="1" width="18.21875" customWidth="1"/>
    <col min="2" max="4" width="13.44140625" customWidth="1"/>
    <col min="7" max="7" width="35.77734375" customWidth="1"/>
    <col min="8" max="14" width="10.6640625" customWidth="1"/>
  </cols>
  <sheetData>
    <row r="1" spans="1:14" ht="23.4" x14ac:dyDescent="0.45">
      <c r="A1" s="121" t="s">
        <v>132</v>
      </c>
      <c r="B1" s="121"/>
    </row>
    <row r="2" spans="1:14" s="122" customFormat="1" ht="54" customHeight="1" x14ac:dyDescent="0.3">
      <c r="A2" s="161" t="s">
        <v>75</v>
      </c>
      <c r="B2" s="161"/>
      <c r="C2" s="161"/>
      <c r="D2" s="161"/>
      <c r="E2" s="161"/>
      <c r="F2" s="161"/>
      <c r="G2" s="161"/>
      <c r="H2" s="161"/>
      <c r="I2" s="161"/>
      <c r="J2" s="161"/>
      <c r="K2" s="161"/>
    </row>
    <row r="3" spans="1:14" s="122" customFormat="1" ht="54" customHeight="1" x14ac:dyDescent="0.3">
      <c r="A3" s="161" t="s">
        <v>72</v>
      </c>
      <c r="B3" s="161"/>
      <c r="C3" s="161"/>
      <c r="D3" s="161"/>
      <c r="E3" s="161"/>
      <c r="F3" s="161"/>
      <c r="G3" s="161"/>
      <c r="H3" s="161"/>
      <c r="I3" s="161"/>
      <c r="J3" s="161"/>
      <c r="K3" s="161"/>
    </row>
    <row r="4" spans="1:14" s="122" customFormat="1" ht="15.6" x14ac:dyDescent="0.3">
      <c r="A4" s="123" t="s">
        <v>73</v>
      </c>
    </row>
    <row r="5" spans="1:14" s="122" customFormat="1" ht="15.6" x14ac:dyDescent="0.3">
      <c r="A5" s="122" t="s">
        <v>74</v>
      </c>
    </row>
    <row r="6" spans="1:14" ht="15" thickBot="1" x14ac:dyDescent="0.35"/>
    <row r="7" spans="1:14" ht="18.600000000000001" thickBot="1" x14ac:dyDescent="0.35">
      <c r="A7" s="1"/>
      <c r="B7" s="124"/>
      <c r="C7" s="125"/>
      <c r="D7" s="126" t="s">
        <v>162</v>
      </c>
    </row>
    <row r="8" spans="1:14" ht="16.2" thickBot="1" x14ac:dyDescent="0.35">
      <c r="A8" s="127" t="s">
        <v>42</v>
      </c>
      <c r="B8" s="128"/>
      <c r="C8" s="129"/>
      <c r="D8" s="130">
        <v>0.57840000000000003</v>
      </c>
    </row>
    <row r="9" spans="1:14" ht="16.2" thickBot="1" x14ac:dyDescent="0.35">
      <c r="A9" s="127" t="s">
        <v>139</v>
      </c>
      <c r="B9" s="128"/>
      <c r="C9" s="129"/>
      <c r="D9" s="130">
        <f>L21/100</f>
        <v>0.57836518259000003</v>
      </c>
      <c r="F9" s="133"/>
      <c r="G9" s="134" t="s">
        <v>156</v>
      </c>
      <c r="H9" s="133"/>
      <c r="I9" s="133"/>
      <c r="J9" s="133"/>
      <c r="K9" s="133"/>
      <c r="L9" s="133"/>
      <c r="M9" s="133"/>
      <c r="N9" s="133"/>
    </row>
    <row r="10" spans="1:14" x14ac:dyDescent="0.3">
      <c r="F10" s="133"/>
      <c r="G10" s="134" t="s">
        <v>157</v>
      </c>
      <c r="H10" s="133"/>
      <c r="I10" s="133"/>
      <c r="J10" s="133"/>
      <c r="K10" s="133"/>
      <c r="L10" s="133"/>
      <c r="M10" s="133"/>
      <c r="N10" s="133"/>
    </row>
    <row r="11" spans="1:14" ht="23.4" x14ac:dyDescent="0.45">
      <c r="A11" s="120" t="s">
        <v>43</v>
      </c>
      <c r="B11" s="120"/>
      <c r="F11" s="133"/>
      <c r="G11" s="135">
        <v>51.41</v>
      </c>
      <c r="H11" s="136" t="s">
        <v>155</v>
      </c>
      <c r="I11" s="133"/>
      <c r="J11" s="133"/>
      <c r="K11" s="133"/>
      <c r="L11" s="133"/>
      <c r="M11" s="133"/>
      <c r="N11" s="133"/>
    </row>
    <row r="12" spans="1:14" x14ac:dyDescent="0.3">
      <c r="F12" s="133"/>
      <c r="G12" s="137">
        <f>100-G11</f>
        <v>48.59</v>
      </c>
      <c r="H12" s="133" t="s">
        <v>140</v>
      </c>
      <c r="I12" s="133"/>
      <c r="J12" s="133"/>
      <c r="K12" s="133"/>
      <c r="L12" s="133"/>
      <c r="M12" s="133"/>
      <c r="N12" s="133"/>
    </row>
    <row r="13" spans="1:14" ht="15.6" x14ac:dyDescent="0.3">
      <c r="A13" s="113"/>
      <c r="B13" s="114" t="s">
        <v>138</v>
      </c>
      <c r="C13" s="113"/>
      <c r="D13" s="113"/>
      <c r="E13" s="115"/>
      <c r="F13" s="133"/>
      <c r="G13" s="134" t="s">
        <v>158</v>
      </c>
      <c r="H13" s="133"/>
      <c r="I13" s="133"/>
      <c r="J13" s="133"/>
      <c r="K13" s="133"/>
      <c r="L13" s="133"/>
      <c r="M13" s="133"/>
      <c r="N13" s="133"/>
    </row>
    <row r="14" spans="1:14" ht="43.2" x14ac:dyDescent="0.3">
      <c r="A14" s="116"/>
      <c r="B14" s="117" t="s">
        <v>39</v>
      </c>
      <c r="C14" s="118" t="s">
        <v>40</v>
      </c>
      <c r="D14" s="119" t="s">
        <v>162</v>
      </c>
      <c r="F14" s="133"/>
      <c r="G14" s="133" t="s">
        <v>141</v>
      </c>
      <c r="H14" s="162" t="s">
        <v>150</v>
      </c>
      <c r="I14" s="162"/>
      <c r="J14" s="138" t="s">
        <v>153</v>
      </c>
      <c r="K14" s="138" t="s">
        <v>151</v>
      </c>
      <c r="L14" s="138" t="s">
        <v>152</v>
      </c>
      <c r="M14" s="138" t="s">
        <v>142</v>
      </c>
      <c r="N14" s="133"/>
    </row>
    <row r="15" spans="1:14" ht="15.6" x14ac:dyDescent="0.3">
      <c r="A15" s="112" t="s">
        <v>159</v>
      </c>
      <c r="B15" s="105"/>
      <c r="C15" s="106"/>
      <c r="D15" s="107">
        <f>L21/100</f>
        <v>0.57836518259000003</v>
      </c>
      <c r="F15" s="133"/>
      <c r="G15" s="133" t="s">
        <v>143</v>
      </c>
      <c r="H15" s="139">
        <v>100</v>
      </c>
      <c r="I15" s="140"/>
      <c r="J15" s="160" t="s">
        <v>141</v>
      </c>
      <c r="K15" s="160"/>
      <c r="L15" s="160"/>
      <c r="M15" s="160"/>
      <c r="N15" s="133"/>
    </row>
    <row r="16" spans="1:14" ht="15.6" x14ac:dyDescent="0.3">
      <c r="A16" t="s">
        <v>41</v>
      </c>
      <c r="B16" s="105">
        <v>8.9999999999999993E-3</v>
      </c>
      <c r="C16" s="106">
        <v>0.443</v>
      </c>
      <c r="D16" s="107">
        <v>0.45200000000000001</v>
      </c>
      <c r="F16" s="133"/>
      <c r="G16" s="133" t="s">
        <v>144</v>
      </c>
      <c r="H16" s="133"/>
      <c r="I16" s="142">
        <v>1.23</v>
      </c>
      <c r="J16" s="143">
        <v>80.5</v>
      </c>
      <c r="K16" s="144">
        <f>I16*J16/100</f>
        <v>0.99014999999999997</v>
      </c>
      <c r="L16" s="144">
        <f>I16-K16</f>
        <v>0.23985000000000001</v>
      </c>
      <c r="M16" s="144">
        <f>K16*G11/100</f>
        <v>0.50903611500000001</v>
      </c>
      <c r="N16" s="133"/>
    </row>
    <row r="17" spans="1:14" ht="15.6" x14ac:dyDescent="0.3">
      <c r="A17" s="104" t="s">
        <v>44</v>
      </c>
      <c r="B17" s="105">
        <v>3.1699999999999999E-2</v>
      </c>
      <c r="C17" s="106">
        <v>0.23960000000000001</v>
      </c>
      <c r="D17" s="107">
        <f t="shared" ref="D17:D42" si="0">B17+C17</f>
        <v>0.27129999999999999</v>
      </c>
      <c r="F17" s="133"/>
      <c r="G17" s="133" t="s">
        <v>145</v>
      </c>
      <c r="H17" s="140">
        <f>SUM(I16:I18)</f>
        <v>88.009999999999991</v>
      </c>
      <c r="I17" s="142">
        <v>17.760000000000002</v>
      </c>
      <c r="J17" s="143">
        <v>97.5</v>
      </c>
      <c r="K17" s="144">
        <f t="shared" ref="K17:K18" si="1">I17*J17/100</f>
        <v>17.316000000000003</v>
      </c>
      <c r="L17" s="144">
        <f t="shared" ref="L17:L18" si="2">I17-K17</f>
        <v>0.44399999999999906</v>
      </c>
      <c r="M17" s="144">
        <f>K17*G11/100</f>
        <v>8.9021556000000004</v>
      </c>
      <c r="N17" s="133"/>
    </row>
    <row r="18" spans="1:14" ht="15.6" x14ac:dyDescent="0.3">
      <c r="A18" s="104" t="s">
        <v>45</v>
      </c>
      <c r="B18" s="105">
        <v>9.7000000000000003E-2</v>
      </c>
      <c r="C18" s="106">
        <v>0.80300000000000005</v>
      </c>
      <c r="D18" s="107">
        <f t="shared" si="0"/>
        <v>0.9</v>
      </c>
      <c r="F18" s="133"/>
      <c r="G18" s="133" t="s">
        <v>146</v>
      </c>
      <c r="H18" s="140"/>
      <c r="I18" s="142">
        <v>69.02</v>
      </c>
      <c r="J18" s="143">
        <v>99.2</v>
      </c>
      <c r="K18" s="144">
        <f t="shared" si="1"/>
        <v>68.467839999999995</v>
      </c>
      <c r="L18" s="144">
        <f t="shared" si="2"/>
        <v>0.55216000000000065</v>
      </c>
      <c r="M18" s="144">
        <f>K18*G11/100</f>
        <v>35.199316543999991</v>
      </c>
      <c r="N18" s="133"/>
    </row>
    <row r="19" spans="1:14" ht="15.6" x14ac:dyDescent="0.3">
      <c r="A19" s="104" t="s">
        <v>46</v>
      </c>
      <c r="B19" s="105">
        <v>0.18870000000000001</v>
      </c>
      <c r="C19" s="106">
        <v>0.3977</v>
      </c>
      <c r="D19" s="107">
        <f t="shared" si="0"/>
        <v>0.58640000000000003</v>
      </c>
      <c r="F19" s="133"/>
      <c r="G19" s="133" t="s">
        <v>147</v>
      </c>
      <c r="H19" s="145">
        <f>H15-H17</f>
        <v>11.990000000000009</v>
      </c>
      <c r="I19" s="144"/>
      <c r="J19" s="141">
        <v>0</v>
      </c>
      <c r="K19" s="141">
        <v>0</v>
      </c>
      <c r="L19" s="144">
        <f>H19</f>
        <v>11.990000000000009</v>
      </c>
      <c r="M19" s="141">
        <v>0</v>
      </c>
      <c r="N19" s="133"/>
    </row>
    <row r="20" spans="1:14" ht="15.6" x14ac:dyDescent="0.3">
      <c r="A20" s="104" t="s">
        <v>47</v>
      </c>
      <c r="B20" s="105">
        <v>0.17199999999999999</v>
      </c>
      <c r="C20" s="106">
        <v>0.622</v>
      </c>
      <c r="D20" s="107">
        <f t="shared" si="0"/>
        <v>0.79400000000000004</v>
      </c>
      <c r="F20" s="133"/>
      <c r="G20" s="133" t="s">
        <v>148</v>
      </c>
      <c r="H20" s="144"/>
      <c r="I20" s="144"/>
      <c r="J20" s="141"/>
      <c r="K20" s="144">
        <f>SUM(K16:K18)</f>
        <v>86.773989999999998</v>
      </c>
      <c r="L20" s="144">
        <f>SUM(L16:L19)</f>
        <v>13.226010000000009</v>
      </c>
      <c r="M20" s="144">
        <f>SUM(M16:M19)</f>
        <v>44.610508258999992</v>
      </c>
      <c r="N20" s="133"/>
    </row>
    <row r="21" spans="1:14" ht="15.6" x14ac:dyDescent="0.3">
      <c r="A21" s="104" t="s">
        <v>48</v>
      </c>
      <c r="B21" s="105">
        <v>0.16300000000000001</v>
      </c>
      <c r="C21" s="106">
        <v>0.66900000000000004</v>
      </c>
      <c r="D21" s="107">
        <f t="shared" si="0"/>
        <v>0.83200000000000007</v>
      </c>
      <c r="F21" s="133"/>
      <c r="G21" s="133" t="s">
        <v>149</v>
      </c>
      <c r="H21" s="144"/>
      <c r="I21" s="144"/>
      <c r="J21" s="141"/>
      <c r="K21" s="141"/>
      <c r="L21" s="159">
        <f>SUM(L20:M20)</f>
        <v>57.836518259000002</v>
      </c>
      <c r="M21" s="160"/>
      <c r="N21" s="133"/>
    </row>
    <row r="22" spans="1:14" ht="15.6" x14ac:dyDescent="0.3">
      <c r="A22" s="104" t="s">
        <v>49</v>
      </c>
      <c r="B22" s="105">
        <v>1.14E-2</v>
      </c>
      <c r="C22" s="106">
        <v>0.85540000000000005</v>
      </c>
      <c r="D22" s="107">
        <f t="shared" si="0"/>
        <v>0.86680000000000001</v>
      </c>
      <c r="F22" s="133"/>
      <c r="G22" s="133"/>
      <c r="H22" s="133"/>
      <c r="I22" s="133"/>
      <c r="J22" s="133"/>
      <c r="K22" s="133"/>
      <c r="L22" s="133"/>
      <c r="M22" s="133"/>
      <c r="N22" s="133"/>
    </row>
    <row r="23" spans="1:14" ht="15.6" x14ac:dyDescent="0.3">
      <c r="A23" s="104" t="s">
        <v>50</v>
      </c>
      <c r="B23" s="105">
        <v>0.128</v>
      </c>
      <c r="C23" s="106">
        <v>0.81</v>
      </c>
      <c r="D23" s="107">
        <f t="shared" si="0"/>
        <v>0.93800000000000006</v>
      </c>
    </row>
    <row r="24" spans="1:14" ht="15.6" x14ac:dyDescent="0.3">
      <c r="A24" s="104" t="s">
        <v>51</v>
      </c>
      <c r="B24" s="105">
        <v>1.0699999999999999E-2</v>
      </c>
      <c r="C24" s="106">
        <v>0.97170000000000001</v>
      </c>
      <c r="D24" s="107">
        <f t="shared" si="0"/>
        <v>0.98240000000000005</v>
      </c>
    </row>
    <row r="25" spans="1:14" ht="15.6" x14ac:dyDescent="0.3">
      <c r="A25" s="104" t="s">
        <v>52</v>
      </c>
      <c r="B25" s="105">
        <v>1.4999999999999999E-2</v>
      </c>
      <c r="C25" s="106">
        <v>0.86099999999999999</v>
      </c>
      <c r="D25" s="107">
        <f t="shared" si="0"/>
        <v>0.876</v>
      </c>
    </row>
    <row r="26" spans="1:14" ht="15.6" x14ac:dyDescent="0.3">
      <c r="A26" s="104" t="s">
        <v>53</v>
      </c>
      <c r="B26" s="105">
        <v>1.54E-2</v>
      </c>
      <c r="C26" s="106">
        <v>0.1794</v>
      </c>
      <c r="D26" s="107">
        <f t="shared" si="0"/>
        <v>0.1948</v>
      </c>
    </row>
    <row r="27" spans="1:14" ht="15.6" x14ac:dyDescent="0.3">
      <c r="A27" s="104" t="s">
        <v>54</v>
      </c>
      <c r="B27" s="105">
        <v>5.9700000000000003E-2</v>
      </c>
      <c r="C27" s="106">
        <v>0.2326</v>
      </c>
      <c r="D27" s="107">
        <f t="shared" si="0"/>
        <v>0.2923</v>
      </c>
    </row>
    <row r="28" spans="1:14" ht="15.6" x14ac:dyDescent="0.3">
      <c r="A28" s="104" t="s">
        <v>55</v>
      </c>
      <c r="B28" s="105">
        <v>0.19</v>
      </c>
      <c r="C28" s="106">
        <v>0.751</v>
      </c>
      <c r="D28" s="107">
        <f t="shared" si="0"/>
        <v>0.94100000000000006</v>
      </c>
    </row>
    <row r="29" spans="1:14" ht="15.6" x14ac:dyDescent="0.3">
      <c r="A29" s="104" t="s">
        <v>56</v>
      </c>
      <c r="B29" s="105">
        <v>4.1000000000000002E-2</v>
      </c>
      <c r="C29" s="106">
        <v>0.95899999999999996</v>
      </c>
      <c r="D29" s="107">
        <f t="shared" si="0"/>
        <v>1</v>
      </c>
    </row>
    <row r="30" spans="1:14" ht="15.6" x14ac:dyDescent="0.3">
      <c r="A30" s="104" t="s">
        <v>57</v>
      </c>
      <c r="B30" s="105">
        <v>0.38869999999999999</v>
      </c>
      <c r="C30" s="106">
        <v>0.28570000000000001</v>
      </c>
      <c r="D30" s="107">
        <f t="shared" si="0"/>
        <v>0.6744</v>
      </c>
    </row>
    <row r="31" spans="1:14" ht="15.6" x14ac:dyDescent="0.3">
      <c r="A31" s="104" t="s">
        <v>58</v>
      </c>
      <c r="B31" s="105">
        <v>0.23139999999999999</v>
      </c>
      <c r="C31" s="106">
        <v>0.1244</v>
      </c>
      <c r="D31" s="107">
        <f t="shared" si="0"/>
        <v>0.35580000000000001</v>
      </c>
    </row>
    <row r="32" spans="1:14" ht="15.6" x14ac:dyDescent="0.3">
      <c r="A32" s="104" t="s">
        <v>59</v>
      </c>
      <c r="B32" s="105">
        <v>0.22700000000000001</v>
      </c>
      <c r="C32" s="106">
        <v>0.63200000000000001</v>
      </c>
      <c r="D32" s="107">
        <f t="shared" si="0"/>
        <v>0.85899999999999999</v>
      </c>
    </row>
    <row r="33" spans="1:4" ht="15.6" x14ac:dyDescent="0.3">
      <c r="A33" s="104" t="s">
        <v>60</v>
      </c>
      <c r="B33" s="105">
        <v>-1.6999999999999999E-3</v>
      </c>
      <c r="C33" s="106">
        <v>0.1134</v>
      </c>
      <c r="D33" s="107">
        <f t="shared" si="0"/>
        <v>0.11170000000000001</v>
      </c>
    </row>
    <row r="34" spans="1:4" ht="15.6" x14ac:dyDescent="0.3">
      <c r="A34" s="104" t="s">
        <v>61</v>
      </c>
      <c r="B34" s="105">
        <v>0.19</v>
      </c>
      <c r="C34" s="106">
        <v>0</v>
      </c>
      <c r="D34" s="107">
        <f t="shared" si="0"/>
        <v>0.19</v>
      </c>
    </row>
    <row r="35" spans="1:4" ht="15.6" x14ac:dyDescent="0.3">
      <c r="A35" s="104" t="s">
        <v>62</v>
      </c>
      <c r="B35" s="105">
        <v>8.0000000000000002E-3</v>
      </c>
      <c r="C35" s="106">
        <v>0</v>
      </c>
      <c r="D35" s="107">
        <f t="shared" si="0"/>
        <v>8.0000000000000002E-3</v>
      </c>
    </row>
    <row r="36" spans="1:4" ht="15.6" x14ac:dyDescent="0.3">
      <c r="A36" s="104" t="s">
        <v>63</v>
      </c>
      <c r="B36" s="105">
        <v>0.249</v>
      </c>
      <c r="C36" s="106">
        <v>0.23200000000000001</v>
      </c>
      <c r="D36" s="107">
        <f t="shared" si="0"/>
        <v>0.48099999999999998</v>
      </c>
    </row>
    <row r="37" spans="1:4" ht="15.6" x14ac:dyDescent="0.3">
      <c r="A37" s="104" t="s">
        <v>64</v>
      </c>
      <c r="B37" s="105">
        <v>0.1123</v>
      </c>
      <c r="C37" s="106">
        <v>0.10340000000000001</v>
      </c>
      <c r="D37" s="107">
        <f t="shared" si="0"/>
        <v>0.2157</v>
      </c>
    </row>
    <row r="38" spans="1:4" ht="15.6" x14ac:dyDescent="0.3">
      <c r="A38" s="104" t="s">
        <v>65</v>
      </c>
      <c r="B38" s="105">
        <v>0.40870000000000001</v>
      </c>
      <c r="C38" s="106">
        <v>0.16070000000000001</v>
      </c>
      <c r="D38" s="107">
        <f t="shared" si="0"/>
        <v>0.56940000000000002</v>
      </c>
    </row>
    <row r="39" spans="1:4" ht="15.6" x14ac:dyDescent="0.3">
      <c r="A39" s="104" t="s">
        <v>66</v>
      </c>
      <c r="B39" s="105">
        <v>0.30599999999999999</v>
      </c>
      <c r="C39" s="106">
        <v>0.36599999999999999</v>
      </c>
      <c r="D39" s="107">
        <f t="shared" si="0"/>
        <v>0.67199999999999993</v>
      </c>
    </row>
    <row r="40" spans="1:4" ht="15.6" x14ac:dyDescent="0.3">
      <c r="A40" s="104" t="s">
        <v>67</v>
      </c>
      <c r="B40" s="105">
        <v>0.03</v>
      </c>
      <c r="C40" s="106">
        <v>8.9999999999999993E-3</v>
      </c>
      <c r="D40" s="107">
        <f t="shared" si="0"/>
        <v>3.9E-2</v>
      </c>
    </row>
    <row r="41" spans="1:4" ht="15.6" x14ac:dyDescent="0.3">
      <c r="A41" s="104" t="s">
        <v>68</v>
      </c>
      <c r="B41" s="105">
        <v>0.123</v>
      </c>
      <c r="C41" s="106">
        <v>0.76300000000000001</v>
      </c>
      <c r="D41" s="107">
        <f t="shared" si="0"/>
        <v>0.88600000000000001</v>
      </c>
    </row>
    <row r="42" spans="1:4" ht="16.2" thickBot="1" x14ac:dyDescent="0.35">
      <c r="A42" s="108" t="s">
        <v>69</v>
      </c>
      <c r="B42" s="109">
        <v>1.06E-2</v>
      </c>
      <c r="C42" s="110">
        <v>0.75970000000000004</v>
      </c>
      <c r="D42" s="111">
        <f t="shared" si="0"/>
        <v>0.7703000000000001</v>
      </c>
    </row>
  </sheetData>
  <sheetProtection algorithmName="SHA-512" hashValue="9FCWkv/aSbkdUYRU6+PYaEqqq5sMDv4YFapkM0IpJD4Lwe1+HWSCSn+ie41eKR7bz7TxgBEOLCGrd4rihYlWrQ==" saltValue="Paw7p66xRp66W1ZPba32hA==" spinCount="100000" sheet="1" formatColumns="0" selectLockedCells="1"/>
  <mergeCells count="5">
    <mergeCell ref="L21:M21"/>
    <mergeCell ref="A2:K2"/>
    <mergeCell ref="A3:K3"/>
    <mergeCell ref="H14:I14"/>
    <mergeCell ref="J15:M15"/>
  </mergeCells>
  <hyperlinks>
    <hyperlink ref="A4" r:id="rId1" xr:uid="{F801F4CC-DA9E-46DD-B2ED-A40F58FC9DA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0dfa4c-49e1-43f1-bcd9-deaa524f29a1">
      <Terms xmlns="http://schemas.microsoft.com/office/infopath/2007/PartnerControls"/>
    </lcf76f155ced4ddcb4097134ff3c332f>
    <TaxCatchAll xmlns="1c7b65e7-2535-4b86-9891-9e0dc6fafd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055359E6972F44AC01DC7D13BAFDA8" ma:contentTypeVersion="16" ma:contentTypeDescription="Create a new document." ma:contentTypeScope="" ma:versionID="e249438f7a78d46b2cddad48b4c17cee">
  <xsd:schema xmlns:xsd="http://www.w3.org/2001/XMLSchema" xmlns:xs="http://www.w3.org/2001/XMLSchema" xmlns:p="http://schemas.microsoft.com/office/2006/metadata/properties" xmlns:ns2="190dfa4c-49e1-43f1-bcd9-deaa524f29a1" xmlns:ns3="1c7b65e7-2535-4b86-9891-9e0dc6fafd88" targetNamespace="http://schemas.microsoft.com/office/2006/metadata/properties" ma:root="true" ma:fieldsID="2bf9669291df63e7171ac5690764ef84" ns2:_="" ns3:_="">
    <xsd:import namespace="190dfa4c-49e1-43f1-bcd9-deaa524f29a1"/>
    <xsd:import namespace="1c7b65e7-2535-4b86-9891-9e0dc6fafd8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dfa4c-49e1-43f1-bcd9-deaa524f29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1a5b94-3be2-4e66-b137-9fd77dbd3f2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7b65e7-2535-4b86-9891-9e0dc6fafd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9e4f4a-837b-4929-b387-60dece551898}" ma:internalName="TaxCatchAll" ma:showField="CatchAllData" ma:web="1c7b65e7-2535-4b86-9891-9e0dc6fafd8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5C71DDEB-27D9-44A5-A0C6-7E2AA9E042DC}">
  <ds:schemaRefs>
    <ds:schemaRef ds:uri="http://schemas.microsoft.com/office/2006/metadata/properties"/>
    <ds:schemaRef ds:uri="http://schemas.microsoft.com/office/infopath/2007/PartnerControls"/>
    <ds:schemaRef ds:uri="190dfa4c-49e1-43f1-bcd9-deaa524f29a1"/>
    <ds:schemaRef ds:uri="1c7b65e7-2535-4b86-9891-9e0dc6fafd88"/>
  </ds:schemaRefs>
</ds:datastoreItem>
</file>

<file path=customXml/itemProps2.xml><?xml version="1.0" encoding="utf-8"?>
<ds:datastoreItem xmlns:ds="http://schemas.openxmlformats.org/officeDocument/2006/customXml" ds:itemID="{136DBCAA-1F1A-4944-992D-2E96750A6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dfa4c-49e1-43f1-bcd9-deaa524f29a1"/>
    <ds:schemaRef ds:uri="1c7b65e7-2535-4b86-9891-9e0dc6fafd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99FAE3-A86F-4B1B-81DA-41CE6F65F727}">
  <ds:schemaRefs>
    <ds:schemaRef ds:uri="http://schemas.microsoft.com/sharepoint/v3/contenttype/forms"/>
  </ds:schemaRefs>
</ds:datastoreItem>
</file>

<file path=customXml/itemProps4.xml><?xml version="1.0" encoding="utf-8"?>
<ds:datastoreItem xmlns:ds="http://schemas.openxmlformats.org/officeDocument/2006/customXml" ds:itemID="{58A3F834-9250-4B19-97A8-650CBFE9CC5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 Information</vt:lpstr>
      <vt:lpstr>Calculation End Use_ProfCons</vt:lpstr>
      <vt:lpstr>Calculation End Use_Industr</vt:lpstr>
      <vt:lpstr>WWT Efficiency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Linda Heughebaert</cp:lastModifiedBy>
  <dcterms:created xsi:type="dcterms:W3CDTF">2025-05-10T14:39:31Z</dcterms:created>
  <dcterms:modified xsi:type="dcterms:W3CDTF">2026-09-08T11:47:48Z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0x010100F5055359E6972F44AC01DC7D13BAFDA8</vt:lpwstr>
  </property>
  <property fmtid="{D5CDD505-2E9C-101B-9397-08002B2CF9AE}" pid="3" name="MediaServiceImageTags">
    <vt:lpwstr/>
  </property>
</Properties>
</file>